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_LRC\2. technical assistance\British RC SAHEL program\2. MAURITANIE clubs des meres\4. plan affaires\"/>
    </mc:Choice>
  </mc:AlternateContent>
  <xr:revisionPtr revIDLastSave="0" documentId="13_ncr:1_{648AE2D6-B3F0-4550-B661-F7942DAB2EB2}" xr6:coauthVersionLast="36" xr6:coauthVersionMax="36" xr10:uidLastSave="{00000000-0000-0000-0000-000000000000}"/>
  <bookViews>
    <workbookView xWindow="0" yWindow="465" windowWidth="28800" windowHeight="17460" activeTab="1" xr2:uid="{00000000-000D-0000-FFFF-FFFF00000000}"/>
  </bookViews>
  <sheets>
    <sheet name="Info general" sheetId="17" r:id="rId1"/>
    <sheet name="Plan economique (PAS)" sheetId="18" r:id="rId2"/>
    <sheet name="Apport CRM" sheetId="21" r:id="rId3"/>
  </sheets>
  <externalReferences>
    <externalReference r:id="rId4"/>
  </externalReferences>
  <definedNames>
    <definedName name="_xlnm.Print_Area" localSheetId="2">'Apport CRM'!$A$1:$F$73</definedName>
    <definedName name="_xlnm.Print_Area" localSheetId="0">'Info general'!$A$1:$H$23</definedName>
    <definedName name="_xlnm.Print_Area" localSheetId="1">'Plan economique (PAS)'!$A$1:$M$91</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81" i="18" l="1"/>
  <c r="L81" i="18"/>
  <c r="M81" i="18"/>
  <c r="M96" i="18"/>
  <c r="L95" i="18"/>
  <c r="L96" i="18"/>
  <c r="K95" i="18"/>
  <c r="G53" i="18"/>
  <c r="H53" i="18"/>
  <c r="K53" i="18"/>
  <c r="L53" i="18"/>
  <c r="M53" i="18"/>
  <c r="G54" i="18"/>
  <c r="H54" i="18"/>
  <c r="K54" i="18"/>
  <c r="L54" i="18"/>
  <c r="M54" i="18"/>
  <c r="G57" i="18"/>
  <c r="H57" i="18"/>
  <c r="K57" i="18"/>
  <c r="L57" i="18"/>
  <c r="M57" i="18"/>
  <c r="K58" i="18"/>
  <c r="L58" i="18"/>
  <c r="M58" i="18"/>
  <c r="G59" i="18"/>
  <c r="H59" i="18"/>
  <c r="K59" i="18"/>
  <c r="L59" i="18"/>
  <c r="M59" i="18"/>
  <c r="G60" i="18"/>
  <c r="H60" i="18"/>
  <c r="K60" i="18"/>
  <c r="L60" i="18"/>
  <c r="M60" i="18"/>
  <c r="G61" i="18"/>
  <c r="H61" i="18"/>
  <c r="K61" i="18"/>
  <c r="L61" i="18"/>
  <c r="M61" i="18"/>
  <c r="G62" i="18"/>
  <c r="H62" i="18"/>
  <c r="K62" i="18"/>
  <c r="L62" i="18"/>
  <c r="M62" i="18"/>
  <c r="K63" i="18"/>
  <c r="L63" i="18"/>
  <c r="M63" i="18"/>
  <c r="H64" i="18"/>
  <c r="K64" i="18"/>
  <c r="L64" i="18"/>
  <c r="M64" i="18"/>
  <c r="K65" i="18"/>
  <c r="L65" i="18"/>
  <c r="M65" i="18"/>
  <c r="H66" i="18"/>
  <c r="K66" i="18"/>
  <c r="L66" i="18"/>
  <c r="M66" i="18"/>
  <c r="H67" i="18"/>
  <c r="K67" i="18"/>
  <c r="L67" i="18"/>
  <c r="M67" i="18"/>
  <c r="K68" i="18"/>
  <c r="L68" i="18"/>
  <c r="M68" i="18"/>
  <c r="G69" i="18"/>
  <c r="H69" i="18"/>
  <c r="K69" i="18"/>
  <c r="L69" i="18"/>
  <c r="M69" i="18"/>
  <c r="K70" i="18"/>
  <c r="L70" i="18"/>
  <c r="M70" i="18"/>
  <c r="G71" i="18"/>
  <c r="H71" i="18"/>
  <c r="K71" i="18"/>
  <c r="L71" i="18"/>
  <c r="M71" i="18"/>
  <c r="K72" i="18"/>
  <c r="L72" i="18"/>
  <c r="M72" i="18"/>
  <c r="G73" i="18"/>
  <c r="H73" i="18"/>
  <c r="K73" i="18"/>
  <c r="L73" i="18"/>
  <c r="M73" i="18"/>
  <c r="G74" i="18"/>
  <c r="H74" i="18"/>
  <c r="K74" i="18"/>
  <c r="L74" i="18"/>
  <c r="M74" i="18"/>
  <c r="G17" i="18"/>
  <c r="G18" i="18"/>
  <c r="E77" i="18"/>
  <c r="G77" i="18"/>
  <c r="L77" i="18"/>
  <c r="M77" i="18"/>
  <c r="G26" i="18"/>
  <c r="G27" i="18"/>
  <c r="G33" i="18"/>
  <c r="G34" i="18"/>
  <c r="E78" i="18"/>
  <c r="G78" i="18"/>
  <c r="L78" i="18"/>
  <c r="M78" i="18"/>
  <c r="G79" i="18"/>
  <c r="L79" i="18"/>
  <c r="M79" i="18"/>
  <c r="G80" i="18"/>
  <c r="L80" i="18"/>
  <c r="M80" i="18"/>
  <c r="G82" i="18"/>
  <c r="L82" i="18"/>
  <c r="M82" i="18"/>
  <c r="M84" i="18"/>
  <c r="M99" i="18"/>
  <c r="L84" i="18"/>
  <c r="L99" i="18"/>
  <c r="K84" i="18"/>
  <c r="K99" i="18"/>
  <c r="H11" i="18"/>
  <c r="K11" i="18"/>
  <c r="L11" i="18"/>
  <c r="M11" i="18"/>
  <c r="H12" i="18"/>
  <c r="K12" i="18"/>
  <c r="L12" i="18"/>
  <c r="M12" i="18"/>
  <c r="M97" i="18"/>
  <c r="H17" i="18"/>
  <c r="K17" i="18"/>
  <c r="L17" i="18"/>
  <c r="M17" i="18"/>
  <c r="H18" i="18"/>
  <c r="K18" i="18"/>
  <c r="L18" i="18"/>
  <c r="M18" i="18"/>
  <c r="H19" i="18"/>
  <c r="K19" i="18"/>
  <c r="L19" i="18"/>
  <c r="M19" i="18"/>
  <c r="H20" i="18"/>
  <c r="K20" i="18"/>
  <c r="L20" i="18"/>
  <c r="M20" i="18"/>
  <c r="K23" i="18"/>
  <c r="L23" i="18"/>
  <c r="M23" i="18"/>
  <c r="H24" i="18"/>
  <c r="K24" i="18"/>
  <c r="L24" i="18"/>
  <c r="M24" i="18"/>
  <c r="H25" i="18"/>
  <c r="K25" i="18"/>
  <c r="L25" i="18"/>
  <c r="M25" i="18"/>
  <c r="H26" i="18"/>
  <c r="K26" i="18"/>
  <c r="L26" i="18"/>
  <c r="M26" i="18"/>
  <c r="H27" i="18"/>
  <c r="K27" i="18"/>
  <c r="L27" i="18"/>
  <c r="M27" i="18"/>
  <c r="K28" i="18"/>
  <c r="L28" i="18"/>
  <c r="M28" i="18"/>
  <c r="H29" i="18"/>
  <c r="K29" i="18"/>
  <c r="L29" i="18"/>
  <c r="M29" i="18"/>
  <c r="K30" i="18"/>
  <c r="L30" i="18"/>
  <c r="M30" i="18"/>
  <c r="H31" i="18"/>
  <c r="K31" i="18"/>
  <c r="L31" i="18"/>
  <c r="M31" i="18"/>
  <c r="H32" i="18"/>
  <c r="K32" i="18"/>
  <c r="L32" i="18"/>
  <c r="M32" i="18"/>
  <c r="H33" i="18"/>
  <c r="K33" i="18"/>
  <c r="L33" i="18"/>
  <c r="M33" i="18"/>
  <c r="H34" i="18"/>
  <c r="K34" i="18"/>
  <c r="L34" i="18"/>
  <c r="M34" i="18"/>
  <c r="K35" i="18"/>
  <c r="L35" i="18"/>
  <c r="M35" i="18"/>
  <c r="G36" i="18"/>
  <c r="H36" i="18"/>
  <c r="K36" i="18"/>
  <c r="L36" i="18"/>
  <c r="M36" i="18"/>
  <c r="K37" i="18"/>
  <c r="L37" i="18"/>
  <c r="M37" i="18"/>
  <c r="G38" i="18"/>
  <c r="H38" i="18"/>
  <c r="K38" i="18"/>
  <c r="L38" i="18"/>
  <c r="M38" i="18"/>
  <c r="K39" i="18"/>
  <c r="L39" i="18"/>
  <c r="M39" i="18"/>
  <c r="G40" i="18"/>
  <c r="H40" i="18"/>
  <c r="K40" i="18"/>
  <c r="L40" i="18"/>
  <c r="M40" i="18"/>
  <c r="G41" i="18"/>
  <c r="H41" i="18"/>
  <c r="K41" i="18"/>
  <c r="L41" i="18"/>
  <c r="M41" i="18"/>
  <c r="K42" i="18"/>
  <c r="L42" i="18"/>
  <c r="M42" i="18"/>
  <c r="G43" i="18"/>
  <c r="H43" i="18"/>
  <c r="K43" i="18"/>
  <c r="L43" i="18"/>
  <c r="M43" i="18"/>
  <c r="M48" i="18"/>
  <c r="M98" i="18"/>
  <c r="L97" i="18"/>
  <c r="L48" i="18"/>
  <c r="L98" i="18"/>
  <c r="K97" i="18"/>
  <c r="K48" i="18"/>
  <c r="K98" i="18"/>
  <c r="H13" i="18"/>
  <c r="H48" i="18"/>
  <c r="H97" i="18"/>
  <c r="H98" i="18"/>
  <c r="M100" i="18"/>
  <c r="L100" i="18"/>
  <c r="K100" i="18"/>
  <c r="H84" i="18"/>
  <c r="H99" i="18"/>
  <c r="H100" i="18"/>
  <c r="C57" i="18"/>
  <c r="C58" i="18"/>
  <c r="G58" i="18"/>
  <c r="C59" i="18"/>
  <c r="C60" i="18"/>
  <c r="C61" i="18"/>
  <c r="C62" i="18"/>
  <c r="C63" i="18"/>
  <c r="G63" i="18"/>
  <c r="C64" i="18"/>
  <c r="G64" i="18"/>
  <c r="C65" i="18"/>
  <c r="G65" i="18"/>
  <c r="C66" i="18"/>
  <c r="G66" i="18"/>
  <c r="C67" i="18"/>
  <c r="G67" i="18"/>
  <c r="C68" i="18"/>
  <c r="G68" i="18"/>
  <c r="G23" i="18"/>
  <c r="G24" i="18"/>
  <c r="G25" i="18"/>
  <c r="E28" i="18"/>
  <c r="G28" i="18"/>
  <c r="G29" i="18"/>
  <c r="E30" i="18"/>
  <c r="G30" i="18"/>
  <c r="G31" i="18"/>
  <c r="G32" i="18"/>
  <c r="E33" i="18"/>
  <c r="E34" i="18"/>
  <c r="G35" i="18"/>
  <c r="C17" i="18"/>
  <c r="C53" i="18"/>
  <c r="C18" i="18"/>
  <c r="C54" i="18"/>
  <c r="G19" i="18"/>
  <c r="G20" i="18"/>
  <c r="M6" i="18"/>
  <c r="G11" i="18"/>
  <c r="G12" i="18"/>
  <c r="H23" i="18"/>
  <c r="H28" i="18"/>
  <c r="H30" i="18"/>
  <c r="H35" i="18"/>
  <c r="G37" i="18"/>
  <c r="H37" i="18"/>
  <c r="G39" i="18"/>
  <c r="H39" i="18"/>
  <c r="E42" i="18"/>
  <c r="G42" i="18"/>
  <c r="H42" i="18"/>
  <c r="C13" i="18"/>
  <c r="G13" i="18"/>
  <c r="K13" i="18"/>
  <c r="C46" i="18"/>
  <c r="G46" i="18"/>
  <c r="L46" i="18"/>
  <c r="M46" i="18"/>
  <c r="H32" i="17"/>
  <c r="F32" i="17"/>
  <c r="F29" i="17"/>
  <c r="H29" i="17"/>
  <c r="F28" i="17"/>
  <c r="H28" i="17"/>
  <c r="F25" i="17"/>
  <c r="H25" i="17"/>
  <c r="F26" i="17"/>
  <c r="H26" i="17"/>
  <c r="F27" i="17"/>
  <c r="H27" i="17"/>
  <c r="F30" i="17"/>
  <c r="H30" i="17"/>
  <c r="H68" i="18"/>
  <c r="C69" i="18"/>
  <c r="C70" i="18"/>
  <c r="G70" i="18"/>
  <c r="H70" i="18"/>
  <c r="C71" i="18"/>
  <c r="C72" i="18"/>
  <c r="G72" i="18"/>
  <c r="H72" i="18"/>
  <c r="C73" i="18"/>
  <c r="H58" i="18"/>
  <c r="H63" i="18"/>
  <c r="H65" i="18"/>
  <c r="H88" i="18"/>
  <c r="H87" i="18"/>
  <c r="H89" i="18"/>
  <c r="H91" i="18"/>
  <c r="B39" i="21"/>
  <c r="D42" i="21"/>
  <c r="B33" i="21"/>
  <c r="B34" i="21"/>
  <c r="B35" i="21"/>
  <c r="B36" i="21"/>
  <c r="B32" i="21"/>
  <c r="B54" i="21"/>
  <c r="D54" i="21"/>
  <c r="E54" i="21"/>
  <c r="C54" i="21"/>
  <c r="A54" i="21"/>
  <c r="D53" i="21"/>
  <c r="C53" i="21"/>
  <c r="B53" i="21"/>
  <c r="E53" i="21"/>
  <c r="A53" i="21"/>
  <c r="D49" i="21"/>
  <c r="C49" i="21"/>
  <c r="B49" i="21"/>
  <c r="E49" i="21"/>
  <c r="A49" i="21"/>
  <c r="D50" i="21"/>
  <c r="C50" i="21"/>
  <c r="B50" i="21"/>
  <c r="A50" i="21"/>
  <c r="D51" i="21"/>
  <c r="C51" i="21"/>
  <c r="B51" i="21"/>
  <c r="E51" i="21"/>
  <c r="A51" i="21"/>
  <c r="D52" i="21"/>
  <c r="C52" i="21"/>
  <c r="B52" i="21"/>
  <c r="A52" i="21"/>
  <c r="D46" i="21"/>
  <c r="C46" i="21"/>
  <c r="B46" i="21"/>
  <c r="A46" i="21"/>
  <c r="D45" i="21"/>
  <c r="C45" i="21"/>
  <c r="B45" i="21"/>
  <c r="A45" i="21"/>
  <c r="A33" i="21"/>
  <c r="C33" i="21"/>
  <c r="D33" i="21"/>
  <c r="A34" i="21"/>
  <c r="C34" i="21"/>
  <c r="D34" i="21"/>
  <c r="A35" i="21"/>
  <c r="C35" i="21"/>
  <c r="D35" i="21"/>
  <c r="A36" i="21"/>
  <c r="C36" i="21"/>
  <c r="D36" i="21"/>
  <c r="A37" i="21"/>
  <c r="C37" i="21"/>
  <c r="D37" i="21"/>
  <c r="A38" i="21"/>
  <c r="C38" i="21"/>
  <c r="D38" i="21"/>
  <c r="A39" i="21"/>
  <c r="C39" i="21"/>
  <c r="D39" i="21"/>
  <c r="A40" i="21"/>
  <c r="C40" i="21"/>
  <c r="D40" i="21"/>
  <c r="A41" i="21"/>
  <c r="C41" i="21"/>
  <c r="D41" i="21"/>
  <c r="A42" i="21"/>
  <c r="C42" i="21"/>
  <c r="A28" i="21"/>
  <c r="B28" i="21"/>
  <c r="C28" i="21"/>
  <c r="D28" i="21"/>
  <c r="A29" i="21"/>
  <c r="B29" i="21"/>
  <c r="C29" i="21"/>
  <c r="D29" i="21"/>
  <c r="A32" i="21"/>
  <c r="C32" i="21"/>
  <c r="D32" i="21"/>
  <c r="D27" i="21"/>
  <c r="C27" i="21"/>
  <c r="B27" i="21"/>
  <c r="A27" i="21"/>
  <c r="C24" i="21"/>
  <c r="D24" i="21"/>
  <c r="B24" i="21"/>
  <c r="A24" i="21"/>
  <c r="A14" i="21"/>
  <c r="B14" i="21"/>
  <c r="D14" i="21"/>
  <c r="A15" i="21"/>
  <c r="B15" i="21"/>
  <c r="D15" i="21"/>
  <c r="A16" i="21"/>
  <c r="B16" i="21"/>
  <c r="D16" i="21"/>
  <c r="A17" i="21"/>
  <c r="B17" i="21"/>
  <c r="D17" i="21"/>
  <c r="D13" i="21"/>
  <c r="B13" i="21"/>
  <c r="A13" i="21"/>
  <c r="B8" i="21"/>
  <c r="B7" i="21"/>
  <c r="A68" i="21"/>
  <c r="A67" i="21"/>
  <c r="A66" i="21"/>
  <c r="A65" i="21"/>
  <c r="A64" i="21"/>
  <c r="A63" i="21"/>
  <c r="A62" i="21"/>
  <c r="C57" i="21"/>
  <c r="B57" i="21"/>
  <c r="E57" i="21"/>
  <c r="E56" i="21"/>
  <c r="E68" i="21"/>
  <c r="H22" i="17"/>
  <c r="F22" i="17"/>
  <c r="E20" i="17"/>
  <c r="F20" i="17"/>
  <c r="E45" i="21"/>
  <c r="E52" i="21"/>
  <c r="E50" i="21"/>
  <c r="E33" i="21"/>
  <c r="E46" i="21"/>
  <c r="E34" i="21"/>
  <c r="E32" i="21"/>
  <c r="E28" i="21"/>
  <c r="E29" i="21"/>
  <c r="E38" i="21"/>
  <c r="E17" i="21"/>
  <c r="E14" i="21"/>
  <c r="E27" i="21"/>
  <c r="E15" i="21"/>
  <c r="E39" i="21"/>
  <c r="E16" i="21"/>
  <c r="E24" i="21"/>
  <c r="E37" i="21"/>
  <c r="E40" i="21"/>
  <c r="E36" i="21"/>
  <c r="E42" i="21"/>
  <c r="E35" i="21"/>
  <c r="E41" i="21"/>
  <c r="E13" i="21"/>
  <c r="E18" i="17"/>
  <c r="F16" i="17"/>
  <c r="H16" i="17"/>
  <c r="F17" i="17"/>
  <c r="H17" i="17"/>
  <c r="F18" i="17"/>
  <c r="H18" i="17"/>
  <c r="F19" i="17"/>
  <c r="H19" i="17"/>
  <c r="D54" i="18"/>
  <c r="D53" i="18"/>
  <c r="E31" i="21"/>
  <c r="E65" i="21"/>
  <c r="E44" i="21"/>
  <c r="E66" i="21"/>
  <c r="E26" i="21"/>
  <c r="E23" i="21"/>
  <c r="E63" i="21"/>
  <c r="E48" i="21"/>
  <c r="E67" i="21"/>
  <c r="E19" i="21"/>
  <c r="E62" i="21"/>
  <c r="L13" i="18"/>
  <c r="M13" i="18"/>
  <c r="E64" i="21"/>
  <c r="E70" i="21"/>
  <c r="E59" i="21"/>
  <c r="K87" i="18"/>
  <c r="M87" i="18"/>
  <c r="L87" i="18"/>
  <c r="K88" i="18"/>
  <c r="L90" i="18"/>
  <c r="M90" i="18"/>
  <c r="K89" i="18"/>
  <c r="K91" i="18"/>
  <c r="M88" i="18"/>
  <c r="M89" i="18"/>
  <c r="M91" i="18"/>
  <c r="L88" i="18"/>
  <c r="L89" i="18"/>
  <c r="L91" i="18"/>
</calcChain>
</file>

<file path=xl/sharedStrings.xml><?xml version="1.0" encoding="utf-8"?>
<sst xmlns="http://schemas.openxmlformats.org/spreadsheetml/2006/main" count="537" uniqueCount="241">
  <si>
    <t>TOTAL</t>
  </si>
  <si>
    <t>Total</t>
  </si>
  <si>
    <t>Type d'investissement</t>
  </si>
  <si>
    <t>Unité</t>
  </si>
  <si>
    <t>INVESTISSEMENT INITIAL AGR</t>
  </si>
  <si>
    <t>Coûts fixes</t>
  </si>
  <si>
    <t>Coûts variables</t>
  </si>
  <si>
    <t>B</t>
  </si>
  <si>
    <t>A-Nº</t>
  </si>
  <si>
    <t>A</t>
  </si>
  <si>
    <t>B-Nº</t>
  </si>
  <si>
    <t>C-Nº</t>
  </si>
  <si>
    <t>C</t>
  </si>
  <si>
    <t>A.1</t>
  </si>
  <si>
    <t>A.2</t>
  </si>
  <si>
    <t>A.3</t>
  </si>
  <si>
    <t>A.4</t>
  </si>
  <si>
    <t>A.5</t>
  </si>
  <si>
    <t>B.1</t>
  </si>
  <si>
    <t>B.2</t>
  </si>
  <si>
    <t>B.4</t>
  </si>
  <si>
    <t>B.5</t>
  </si>
  <si>
    <t>B.6</t>
  </si>
  <si>
    <t>B.7</t>
  </si>
  <si>
    <t>B.8</t>
  </si>
  <si>
    <t>C.1</t>
  </si>
  <si>
    <t>C.2</t>
  </si>
  <si>
    <t>C.3</t>
  </si>
  <si>
    <t>COÛTS DE L'ACTIVITÉ</t>
  </si>
  <si>
    <t>B.9</t>
  </si>
  <si>
    <t>B.10</t>
  </si>
  <si>
    <t>B.11</t>
  </si>
  <si>
    <t>Amortissement</t>
  </si>
  <si>
    <t>Type de dépenses</t>
  </si>
  <si>
    <t>Localité :</t>
  </si>
  <si>
    <t>PLAN D'AFFAIRES SIMPLIFIE</t>
  </si>
  <si>
    <t xml:space="preserve">Contributions projet: </t>
  </si>
  <si>
    <r>
      <t xml:space="preserve">Cycle de l'AGR </t>
    </r>
    <r>
      <rPr>
        <i/>
        <sz val="12"/>
        <color theme="1"/>
        <rFont val="Calibri"/>
        <family val="2"/>
        <scheme val="minor"/>
      </rPr>
      <t>(hebdomadaire, mensuel, annuel, etc.):</t>
    </r>
  </si>
  <si>
    <t>Coût unitaire</t>
  </si>
  <si>
    <t>DEPENSES PAR CYCLE</t>
  </si>
  <si>
    <t>RECETTES PAR CYCLE</t>
  </si>
  <si>
    <t>Produit / service</t>
  </si>
  <si>
    <t>Prix unitaire</t>
  </si>
  <si>
    <t>Plan Economique</t>
  </si>
  <si>
    <t>Cycle vie (ans)</t>
  </si>
  <si>
    <r>
      <t xml:space="preserve">Nom, Prénom </t>
    </r>
    <r>
      <rPr>
        <sz val="12"/>
        <color theme="1"/>
        <rFont val="Calibri"/>
        <family val="2"/>
        <scheme val="minor"/>
      </rPr>
      <t>(bénéficiaire, personne de contact)</t>
    </r>
    <r>
      <rPr>
        <b/>
        <sz val="12"/>
        <color theme="1"/>
        <rFont val="Calibri"/>
        <family val="2"/>
        <scheme val="minor"/>
      </rPr>
      <t>:</t>
    </r>
  </si>
  <si>
    <t>Numéro téléphone :</t>
  </si>
  <si>
    <t xml:space="preserve">Contributions bénéficiaire: </t>
  </si>
  <si>
    <t>Quantité</t>
  </si>
  <si>
    <t>BÉNÉFICES PAR CYCLE</t>
  </si>
  <si>
    <t>RECETTES DE L'ACTIVITÉ</t>
  </si>
  <si>
    <t>amortis./an</t>
  </si>
  <si>
    <t>Information général et Investissement initial</t>
  </si>
  <si>
    <t>Plan Economique Simplifié</t>
  </si>
  <si>
    <t>Prévision de recettes et dépenses par 3 ans</t>
  </si>
  <si>
    <t>Année 2</t>
  </si>
  <si>
    <t>Année 1</t>
  </si>
  <si>
    <t>Année 3</t>
  </si>
  <si>
    <t>Conversion (cycle--&gt; an)</t>
  </si>
  <si>
    <t>hebdomadaire</t>
  </si>
  <si>
    <t>annuel</t>
  </si>
  <si>
    <t>semestre (6mois)</t>
  </si>
  <si>
    <t>trimestrielle (3mois)</t>
  </si>
  <si>
    <t>Type de Cycle</t>
  </si>
  <si>
    <t>mensuel</t>
  </si>
  <si>
    <t>quincénaire</t>
  </si>
  <si>
    <t>(C-B) BÉNÉFICE</t>
  </si>
  <si>
    <t>(C-B-A) BÉNÉFICE</t>
  </si>
  <si>
    <t>bimensuel (2mois)</t>
  </si>
  <si>
    <t>MRU</t>
  </si>
  <si>
    <t>RÉSUMÉ SUPPORT AGR</t>
  </si>
  <si>
    <t>Poisson</t>
  </si>
  <si>
    <t>Légumes</t>
  </si>
  <si>
    <t>C.4</t>
  </si>
  <si>
    <t>C.5</t>
  </si>
  <si>
    <t>Location boutique</t>
  </si>
  <si>
    <t>Denrées alimentaires - sucre</t>
  </si>
  <si>
    <t>Denrées alimentaires - huile</t>
  </si>
  <si>
    <t>20 litres</t>
  </si>
  <si>
    <t>litres</t>
  </si>
  <si>
    <t>Denrées alimentaires - pate</t>
  </si>
  <si>
    <t>B.12</t>
  </si>
  <si>
    <t>C.7</t>
  </si>
  <si>
    <t>B.13</t>
  </si>
  <si>
    <t>C.8</t>
  </si>
  <si>
    <t>C.9</t>
  </si>
  <si>
    <t>B.14</t>
  </si>
  <si>
    <t>B.15</t>
  </si>
  <si>
    <t>B.16</t>
  </si>
  <si>
    <t>B.17</t>
  </si>
  <si>
    <t>B.18</t>
  </si>
  <si>
    <t>B.19</t>
  </si>
  <si>
    <t>B.20</t>
  </si>
  <si>
    <t>B.21</t>
  </si>
  <si>
    <t>B.22</t>
  </si>
  <si>
    <t>C.10</t>
  </si>
  <si>
    <t>C.11</t>
  </si>
  <si>
    <t>C.12</t>
  </si>
  <si>
    <t>Denrées alimentaires - riz</t>
  </si>
  <si>
    <t>Denrées alimentaires - blé</t>
  </si>
  <si>
    <t>Remarques</t>
  </si>
  <si>
    <t>Achats hebdomadaires</t>
  </si>
  <si>
    <t>Achats mensuels</t>
  </si>
  <si>
    <t>Mois</t>
  </si>
  <si>
    <t>Semaine</t>
  </si>
  <si>
    <t>Ventes hebdomadaires</t>
  </si>
  <si>
    <t>Ventes mensuels</t>
  </si>
  <si>
    <t>Total (Mois)</t>
  </si>
  <si>
    <t>C.13</t>
  </si>
  <si>
    <t>C.14</t>
  </si>
  <si>
    <t>C.15</t>
  </si>
  <si>
    <t>B.23</t>
  </si>
  <si>
    <t>Emballages</t>
  </si>
  <si>
    <t>Entretien</t>
  </si>
  <si>
    <t>1 fois par an</t>
  </si>
  <si>
    <t>Poisson (y compris la glace)</t>
  </si>
  <si>
    <t>Club de mères - Msab Laweisi</t>
  </si>
  <si>
    <t>Msab Laweisi</t>
  </si>
  <si>
    <t>semaine</t>
  </si>
  <si>
    <t>mois</t>
  </si>
  <si>
    <t>Charbon</t>
  </si>
  <si>
    <t>C.6</t>
  </si>
  <si>
    <t>C.16</t>
  </si>
  <si>
    <t>Construction boutique</t>
  </si>
  <si>
    <t>Transport poisson - Mbout</t>
  </si>
  <si>
    <t>3 fois par semaine, 50 Kg.</t>
  </si>
  <si>
    <t>Denrées alimentaires - bidon vide huile</t>
  </si>
  <si>
    <t>Denrées alimentaires - thé</t>
  </si>
  <si>
    <t>Denrées alimentaires - OMO</t>
  </si>
  <si>
    <t>Denrées alimentaires - lait</t>
  </si>
  <si>
    <t>Denrées alimentaires - savon</t>
  </si>
  <si>
    <t>Loyer Charrette</t>
  </si>
  <si>
    <t>100 g</t>
  </si>
  <si>
    <t>kg</t>
  </si>
  <si>
    <t>étagères et tables 4000</t>
  </si>
  <si>
    <t>balance 2000MRU, nattes et autres 1500 MRU</t>
  </si>
  <si>
    <t>trajet</t>
  </si>
  <si>
    <t>transport</t>
  </si>
  <si>
    <t>loyer</t>
  </si>
  <si>
    <t>forfait</t>
  </si>
  <si>
    <t>unité</t>
  </si>
  <si>
    <t>unités</t>
  </si>
  <si>
    <t>B.3</t>
  </si>
  <si>
    <t>sac 50 kg</t>
  </si>
  <si>
    <t>10 kg</t>
  </si>
  <si>
    <t>sac 25 kg</t>
  </si>
  <si>
    <t>carton 96 ud</t>
  </si>
  <si>
    <t>carton 75 ud</t>
  </si>
  <si>
    <t>carton 18 ud</t>
  </si>
  <si>
    <t>Denrées alimentaires - gloria (transport incl.)</t>
  </si>
  <si>
    <t>Denrées alimentaires - pate (transport incl.)</t>
  </si>
  <si>
    <t>Transport denrées alimentaires</t>
  </si>
  <si>
    <t>50 MRU / sac 50 kg; 30 MRU other; 30 MRU bidon</t>
  </si>
  <si>
    <t>Distribution dans le village</t>
  </si>
  <si>
    <t>Crédit telephonique</t>
  </si>
  <si>
    <t>Denrées alimentaires - gloria</t>
  </si>
  <si>
    <t xml:space="preserve">Apport CRM </t>
  </si>
  <si>
    <r>
      <t>Type/nom de l'activité génératrice de revenus:</t>
    </r>
    <r>
      <rPr>
        <sz val="11"/>
        <color theme="1"/>
        <rFont val="Calibri"/>
        <family val="2"/>
        <scheme val="minor"/>
      </rPr>
      <t xml:space="preserve"> </t>
    </r>
  </si>
  <si>
    <t>1 cycle</t>
  </si>
  <si>
    <t>B.24</t>
  </si>
  <si>
    <t>B.25</t>
  </si>
  <si>
    <t>B.26</t>
  </si>
  <si>
    <t>B.27</t>
  </si>
  <si>
    <t>B.28</t>
  </si>
  <si>
    <t>C.17</t>
  </si>
  <si>
    <t>C.18</t>
  </si>
  <si>
    <t>C.19</t>
  </si>
  <si>
    <t>C.20</t>
  </si>
  <si>
    <t>Thermos 24l</t>
  </si>
  <si>
    <t>trajet vente à domicile et autres villages</t>
  </si>
  <si>
    <t>1/2 cycle</t>
  </si>
  <si>
    <t>construction de boutique</t>
  </si>
  <si>
    <t xml:space="preserve">Boutique / magasin de produits diverses, notamment produits alimentaires (denrées alimentaires de base, poisson et légumes), habilles, produits d’hygiène, vente de charbon et recharge téléphonique. </t>
  </si>
  <si>
    <t>Forfait démarrage (transport matériels, visites fournisseurs, etc.)</t>
  </si>
  <si>
    <t>Amenagement boutique (etageres, tables)</t>
  </si>
  <si>
    <t>Equipment (balance, nattes, nettoyage, etc.)</t>
  </si>
  <si>
    <t>20 kg, 3 fois par semaine</t>
  </si>
  <si>
    <t>Apport du CRM (AGR Clubs des Mères)</t>
  </si>
  <si>
    <t>PLAN ECONOMIQUE du PLAN d'AFFAIRES SIMPLIFIE</t>
  </si>
  <si>
    <r>
      <t xml:space="preserve">Nom, Prénom </t>
    </r>
    <r>
      <rPr>
        <sz val="11"/>
        <color theme="1"/>
        <rFont val="Calibri"/>
        <family val="2"/>
        <scheme val="minor"/>
      </rPr>
      <t>(bénéficiaire)</t>
    </r>
    <r>
      <rPr>
        <b/>
        <sz val="11"/>
        <color theme="1"/>
        <rFont val="Calibri"/>
        <family val="2"/>
        <scheme val="minor"/>
      </rPr>
      <t>:</t>
    </r>
  </si>
  <si>
    <t>Investissement AGR</t>
  </si>
  <si>
    <t>Coût ud (MRU)</t>
  </si>
  <si>
    <t>Total (MRU)</t>
  </si>
  <si>
    <t>Couverture CRM</t>
  </si>
  <si>
    <t>totale</t>
  </si>
  <si>
    <t>Total Investissement AGR couvert</t>
  </si>
  <si>
    <t>Dépenses par cycle (Fonds de roulement)</t>
  </si>
  <si>
    <t>1 mois</t>
  </si>
  <si>
    <t>Coûts variables. Vente de poisson et légumes, cycle hebdomadaire</t>
  </si>
  <si>
    <t>1 mois (1 cycle)</t>
  </si>
  <si>
    <t>Autres</t>
  </si>
  <si>
    <t>Emballages et autres dépenses mineures</t>
  </si>
  <si>
    <t>Total dépenses (fond roulement) couvertes</t>
  </si>
  <si>
    <t>Total Contribution CRM (MRU)</t>
  </si>
  <si>
    <t>Coûts variables. Vente de denrées alimentaires et de produits d’hygiène, cycle mensuel</t>
  </si>
  <si>
    <t>Coûts variables. Vente de charbon et recharge telephonique, cycle mensuel</t>
  </si>
  <si>
    <t>Coûts variables. Vente d'habilles, cycle mensuel</t>
  </si>
  <si>
    <t>1/2 mois (1/2 cycle)</t>
  </si>
  <si>
    <t>Année 2 et 3</t>
  </si>
  <si>
    <t>Thermo pour le transport 48 Kg.</t>
  </si>
  <si>
    <t>Amenagement boutique (estimation)</t>
  </si>
  <si>
    <t>ameliorations pour l'augmantation de produits</t>
  </si>
  <si>
    <t>Congelateur solaire 208 litres, avec panneaux, installation et transport</t>
  </si>
  <si>
    <t>Achat à Kiffa</t>
  </si>
  <si>
    <t>Equipment (estimation)</t>
  </si>
  <si>
    <t>multiprises, pots, etc</t>
  </si>
  <si>
    <t>TOTAL ANNÉES 2 ET 3</t>
  </si>
  <si>
    <t>Charrette</t>
  </si>
  <si>
    <t>Ane (pour la charette)</t>
  </si>
  <si>
    <t>MOIS</t>
  </si>
  <si>
    <t>Scenario évolution AGR (années 2 et 3)</t>
  </si>
  <si>
    <t>Entretien congelateur</t>
  </si>
  <si>
    <t>Ajout de l'entretien du congélateur</t>
  </si>
  <si>
    <t>Scenario évolution AGR (années 2 et 3), estimation mensuelle</t>
  </si>
  <si>
    <t>C1</t>
  </si>
  <si>
    <t>Bénéfice. Augmentation poisson et légumes</t>
  </si>
  <si>
    <t>Doubler les ventes</t>
  </si>
  <si>
    <t>C2</t>
  </si>
  <si>
    <t>25%</t>
  </si>
  <si>
    <t>C3</t>
  </si>
  <si>
    <t>Bénéfice. Diversification, vente de boissons</t>
  </si>
  <si>
    <t>C4</t>
  </si>
  <si>
    <t>C5</t>
  </si>
  <si>
    <t>C6</t>
  </si>
  <si>
    <t>Recharge telephone</t>
  </si>
  <si>
    <t>Bénéfice. Augmentation d. alimentaires, charbon et produits d'hygiens</t>
  </si>
  <si>
    <t>Bénéfice. Diversification vente poulets</t>
  </si>
  <si>
    <t>RESUME</t>
  </si>
  <si>
    <t xml:space="preserve">Investissement </t>
  </si>
  <si>
    <t>Dépenses fixes</t>
  </si>
  <si>
    <t>Dépenses variables</t>
  </si>
  <si>
    <t>Recettes</t>
  </si>
  <si>
    <t xml:space="preserve">Type/nom de l'activité génératrice de revenus: </t>
  </si>
  <si>
    <t>Plan économique pour le premier année selon la définition élaborée avec le groupement.
Scenario d'évolution du PAS: achat d'un congélateur. Augmantation des ventes de poisson, et de denrées alimentaires, produits d'ghygiene, etc. (25%), Vente dans les villages voisins avec le charrette. Inclure des boissons et des poulets. Inclure le service de recharge de telephones et le service de transport. L'évolution est calculé sur la base de bénéfices mensuels et en utilisant les résultats des AGRs d'autres groupements.</t>
  </si>
  <si>
    <t>Service transport</t>
  </si>
  <si>
    <t>Vêtements - Voiles (dif. categories)</t>
  </si>
  <si>
    <t>Vêtements - Robes</t>
  </si>
  <si>
    <t>Vêtements - Vêtements enfants</t>
  </si>
  <si>
    <t>Vêtements - Chaussures</t>
  </si>
  <si>
    <t>Vêtements - Chaussures enfants</t>
  </si>
  <si>
    <t>Transport Vêtements - Kaedi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</si>
</sst>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 _€_-;\-* #,##0\ _€_-;_-* &quot;-&quot;??\ _€_-;_-@_-"/>
    <numFmt numFmtId="165" formatCode="0.0"/>
  </numFmts>
  <fonts count="24" x14ac:knownFonts="1">
    <font>
      <sz val="11"/>
      <color theme="1"/>
      <name val="Calibri"/>
      <family val="2"/>
      <scheme val="minor"/>
    </font>
    <font>
      <sz val="12"/>
      <color theme="1"/>
      <name val="Calibri"/>
      <family val="2"/>
      <scheme val="minor"/>
    </font>
    <font>
      <b/>
      <sz val="11"/>
      <color theme="0"/>
      <name val="Calibri"/>
      <family val="2"/>
      <scheme val="minor"/>
    </font>
    <font>
      <b/>
      <sz val="11"/>
      <color rgb="FFC00000"/>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scheme val="minor"/>
    </font>
    <font>
      <b/>
      <sz val="11"/>
      <color theme="1"/>
      <name val="Calibri"/>
      <family val="2"/>
    </font>
    <font>
      <b/>
      <sz val="14"/>
      <color theme="0"/>
      <name val="Calibri"/>
      <family val="2"/>
      <scheme val="minor"/>
    </font>
    <font>
      <b/>
      <sz val="12"/>
      <color theme="1"/>
      <name val="Calibri"/>
      <family val="2"/>
      <scheme val="minor"/>
    </font>
    <font>
      <b/>
      <sz val="12"/>
      <name val="Calibri"/>
      <family val="2"/>
      <scheme val="minor"/>
    </font>
    <font>
      <i/>
      <sz val="12"/>
      <color theme="1"/>
      <name val="Calibri"/>
      <family val="2"/>
      <scheme val="minor"/>
    </font>
    <font>
      <sz val="22"/>
      <color rgb="FFC00000"/>
      <name val="Calibri"/>
      <family val="2"/>
      <scheme val="minor"/>
    </font>
    <font>
      <b/>
      <sz val="14"/>
      <color rgb="FFC00000"/>
      <name val="Calibri"/>
      <family val="2"/>
      <scheme val="minor"/>
    </font>
    <font>
      <sz val="11"/>
      <color theme="2" tint="-0.249977111117893"/>
      <name val="Calibri"/>
      <family val="2"/>
      <scheme val="minor"/>
    </font>
    <font>
      <b/>
      <sz val="11"/>
      <color theme="2" tint="-0.249977111117893"/>
      <name val="Calibri"/>
      <family val="2"/>
      <scheme val="minor"/>
    </font>
    <font>
      <b/>
      <sz val="11"/>
      <color rgb="FFFF0000"/>
      <name val="Calibri"/>
      <family val="2"/>
      <scheme val="minor"/>
    </font>
    <font>
      <sz val="11"/>
      <name val="Calibri"/>
      <family val="2"/>
      <scheme val="minor"/>
    </font>
    <font>
      <b/>
      <sz val="12"/>
      <color theme="0"/>
      <name val="Calibri"/>
      <family val="2"/>
      <scheme val="minor"/>
    </font>
    <font>
      <sz val="12"/>
      <name val="Calibri"/>
      <family val="2"/>
      <scheme val="minor"/>
    </font>
    <font>
      <sz val="10"/>
      <color theme="1"/>
      <name val="Calibri"/>
      <family val="2"/>
      <scheme val="minor"/>
    </font>
    <font>
      <sz val="11"/>
      <color theme="8" tint="-0.499984740745262"/>
      <name val="Calibri"/>
      <family val="2"/>
      <scheme val="minor"/>
    </font>
    <font>
      <b/>
      <sz val="11"/>
      <color theme="8" tint="-0.499984740745262"/>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rgb="FFECEADC"/>
        <bgColor indexed="64"/>
      </patternFill>
    </fill>
    <fill>
      <patternFill patternType="solid">
        <fgColor rgb="FFC7C09D"/>
        <bgColor indexed="64"/>
      </patternFill>
    </fill>
    <fill>
      <patternFill patternType="solid">
        <fgColor rgb="FFFFF13B"/>
        <bgColor indexed="64"/>
      </patternFill>
    </fill>
    <fill>
      <patternFill patternType="solid">
        <fgColor theme="0"/>
        <bgColor indexed="64"/>
      </patternFill>
    </fill>
    <fill>
      <patternFill patternType="solid">
        <fgColor theme="2" tint="-9.9978637043366805E-2"/>
        <bgColor indexed="64"/>
      </patternFill>
    </fill>
    <fill>
      <patternFill patternType="solid">
        <fgColor rgb="FFF6F5F0"/>
        <bgColor indexed="64"/>
      </patternFill>
    </fill>
    <fill>
      <patternFill patternType="solid">
        <fgColor theme="8" tint="-0.499984740745262"/>
        <bgColor indexed="64"/>
      </patternFill>
    </fill>
    <fill>
      <patternFill patternType="solid">
        <fgColor theme="2"/>
        <bgColor indexed="64"/>
      </patternFill>
    </fill>
  </fills>
  <borders count="16">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215">
    <xf numFmtId="0" fontId="0" fillId="0" borderId="0" xfId="0"/>
    <xf numFmtId="0" fontId="4" fillId="0" borderId="0" xfId="0" applyFont="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justify"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Fill="1" applyBorder="1" applyAlignment="1">
      <alignment vertical="center"/>
    </xf>
    <xf numFmtId="0" fontId="4" fillId="0" borderId="0" xfId="0" applyFont="1" applyBorder="1" applyAlignment="1">
      <alignment horizontal="left" vertical="center"/>
    </xf>
    <xf numFmtId="0" fontId="6"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3" fillId="3" borderId="0" xfId="0" applyFont="1" applyFill="1" applyBorder="1" applyAlignment="1">
      <alignment horizontal="center" vertical="center"/>
    </xf>
    <xf numFmtId="0" fontId="4" fillId="4" borderId="0" xfId="0" applyFont="1" applyFill="1" applyBorder="1" applyAlignment="1">
      <alignment vertical="center"/>
    </xf>
    <xf numFmtId="0" fontId="0" fillId="3" borderId="0" xfId="0" applyFont="1" applyFill="1" applyBorder="1" applyAlignment="1">
      <alignment horizontal="left" vertical="center"/>
    </xf>
    <xf numFmtId="0" fontId="3" fillId="3" borderId="0" xfId="0" applyFont="1" applyFill="1" applyBorder="1" applyAlignment="1">
      <alignment vertical="center"/>
    </xf>
    <xf numFmtId="0" fontId="3" fillId="0" borderId="0" xfId="0" applyFont="1" applyBorder="1" applyAlignment="1">
      <alignment vertical="center"/>
    </xf>
    <xf numFmtId="0" fontId="0" fillId="3" borderId="0" xfId="0" applyFont="1" applyFill="1" applyBorder="1" applyAlignment="1">
      <alignment horizontal="center" vertical="center"/>
    </xf>
    <xf numFmtId="0" fontId="4" fillId="4" borderId="0" xfId="0" applyFont="1" applyFill="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164" fontId="0" fillId="3" borderId="0" xfId="1" applyNumberFormat="1" applyFont="1" applyFill="1" applyBorder="1" applyAlignment="1">
      <alignment horizontal="center" vertical="center"/>
    </xf>
    <xf numFmtId="164" fontId="4" fillId="4" borderId="0" xfId="1" applyNumberFormat="1" applyFont="1" applyFill="1" applyBorder="1" applyAlignment="1">
      <alignment horizontal="center" vertical="center"/>
    </xf>
    <xf numFmtId="164" fontId="0" fillId="0" borderId="0" xfId="1" applyNumberFormat="1" applyFont="1" applyBorder="1" applyAlignment="1">
      <alignment horizontal="center" vertical="center"/>
    </xf>
    <xf numFmtId="164" fontId="4" fillId="3" borderId="0" xfId="1" applyNumberFormat="1" applyFont="1" applyFill="1" applyBorder="1" applyAlignment="1">
      <alignment vertical="center"/>
    </xf>
    <xf numFmtId="164" fontId="9" fillId="2" borderId="0" xfId="1" applyNumberFormat="1" applyFont="1" applyFill="1" applyBorder="1" applyAlignment="1">
      <alignment horizontal="center" vertical="center"/>
    </xf>
    <xf numFmtId="164" fontId="3" fillId="0" borderId="0" xfId="1" applyNumberFormat="1" applyFont="1" applyBorder="1" applyAlignment="1">
      <alignment horizontal="center" vertical="center"/>
    </xf>
    <xf numFmtId="164" fontId="0" fillId="0" borderId="0" xfId="1" applyNumberFormat="1" applyFont="1" applyBorder="1" applyAlignment="1">
      <alignment vertical="center"/>
    </xf>
    <xf numFmtId="0" fontId="15" fillId="0" borderId="0" xfId="0" applyFont="1" applyBorder="1" applyAlignment="1">
      <alignment vertical="center"/>
    </xf>
    <xf numFmtId="0" fontId="16" fillId="0" borderId="0" xfId="0" applyFont="1" applyFill="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4" fillId="5" borderId="0" xfId="0" applyFont="1" applyFill="1" applyBorder="1" applyAlignment="1">
      <alignment horizontal="center" vertical="center"/>
    </xf>
    <xf numFmtId="164" fontId="0" fillId="5" borderId="0" xfId="1" applyNumberFormat="1" applyFont="1" applyFill="1" applyBorder="1" applyAlignment="1">
      <alignment horizontal="center" vertical="center"/>
    </xf>
    <xf numFmtId="164" fontId="0" fillId="0" borderId="0" xfId="0" applyNumberFormat="1" applyFont="1" applyBorder="1" applyAlignment="1">
      <alignment vertical="center"/>
    </xf>
    <xf numFmtId="0" fontId="18" fillId="0" borderId="0" xfId="0" applyFont="1" applyFill="1" applyAlignment="1">
      <alignment horizontal="center" vertical="top" wrapText="1"/>
    </xf>
    <xf numFmtId="0" fontId="0" fillId="0" borderId="0" xfId="0" applyFill="1" applyAlignment="1">
      <alignment horizontal="center" vertical="top" wrapText="1"/>
    </xf>
    <xf numFmtId="0" fontId="0" fillId="0" borderId="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0" borderId="0" xfId="0" applyFont="1" applyBorder="1" applyAlignment="1">
      <alignment horizontal="center" vertical="center"/>
    </xf>
    <xf numFmtId="164" fontId="0" fillId="0" borderId="0" xfId="1" applyNumberFormat="1" applyFont="1" applyBorder="1" applyAlignment="1">
      <alignment horizontal="left" vertical="center"/>
    </xf>
    <xf numFmtId="164" fontId="9" fillId="2" borderId="0" xfId="1" applyNumberFormat="1" applyFont="1" applyFill="1" applyBorder="1" applyAlignment="1">
      <alignment horizontal="left" vertical="center"/>
    </xf>
    <xf numFmtId="164" fontId="3" fillId="0" borderId="0" xfId="1" applyNumberFormat="1" applyFont="1" applyBorder="1" applyAlignment="1">
      <alignment horizontal="left" vertical="center"/>
    </xf>
    <xf numFmtId="164" fontId="0" fillId="3" borderId="0" xfId="1" applyNumberFormat="1" applyFont="1" applyFill="1" applyBorder="1" applyAlignment="1">
      <alignment horizontal="left" vertical="center"/>
    </xf>
    <xf numFmtId="164" fontId="4" fillId="4" borderId="0" xfId="1" applyNumberFormat="1" applyFont="1" applyFill="1" applyBorder="1" applyAlignment="1">
      <alignment horizontal="left" vertical="center"/>
    </xf>
    <xf numFmtId="164" fontId="0" fillId="5" borderId="0" xfId="1" applyNumberFormat="1" applyFont="1" applyFill="1" applyBorder="1" applyAlignment="1">
      <alignment horizontal="left" vertical="center"/>
    </xf>
    <xf numFmtId="165" fontId="0" fillId="0" borderId="0" xfId="0" applyNumberFormat="1" applyFont="1" applyBorder="1" applyAlignment="1">
      <alignment horizontal="center" vertical="center"/>
    </xf>
    <xf numFmtId="1" fontId="0" fillId="0" borderId="0" xfId="0" applyNumberFormat="1" applyFont="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3" borderId="0" xfId="0" applyFont="1" applyFill="1" applyBorder="1" applyAlignment="1">
      <alignment horizontal="left" vertical="center"/>
    </xf>
    <xf numFmtId="0" fontId="6" fillId="0" borderId="0" xfId="0" applyFont="1" applyBorder="1" applyAlignment="1">
      <alignment horizontal="center" vertical="center"/>
    </xf>
    <xf numFmtId="164" fontId="6" fillId="3" borderId="0" xfId="1" applyNumberFormat="1" applyFont="1" applyFill="1" applyBorder="1" applyAlignment="1">
      <alignment horizontal="center" vertical="center"/>
    </xf>
    <xf numFmtId="164" fontId="6" fillId="3" borderId="0" xfId="1" applyNumberFormat="1" applyFont="1" applyFill="1" applyBorder="1" applyAlignment="1">
      <alignment horizontal="left" vertical="center"/>
    </xf>
    <xf numFmtId="164" fontId="0" fillId="0" borderId="0" xfId="1" applyNumberFormat="1" applyFont="1" applyFill="1" applyBorder="1" applyAlignment="1">
      <alignment horizontal="center" vertical="center"/>
    </xf>
    <xf numFmtId="164" fontId="0" fillId="3" borderId="0" xfId="0" applyNumberFormat="1" applyFont="1" applyFill="1" applyBorder="1" applyAlignment="1">
      <alignment horizontal="center" vertical="center"/>
    </xf>
    <xf numFmtId="0" fontId="0" fillId="0" borderId="0" xfId="0" applyFont="1" applyBorder="1" applyAlignment="1">
      <alignment horizontal="left" vertical="center"/>
    </xf>
    <xf numFmtId="0" fontId="9" fillId="0" borderId="0" xfId="0" applyFont="1" applyFill="1" applyBorder="1" applyAlignment="1">
      <alignment horizontal="left" vertical="center"/>
    </xf>
    <xf numFmtId="0" fontId="2" fillId="0" borderId="0" xfId="0" applyFont="1" applyFill="1" applyBorder="1" applyAlignment="1">
      <alignment horizontal="left" vertical="center"/>
    </xf>
    <xf numFmtId="0" fontId="9" fillId="2" borderId="0" xfId="0" applyFont="1" applyFill="1" applyBorder="1" applyAlignment="1">
      <alignment horizontal="left" vertical="center"/>
    </xf>
    <xf numFmtId="0" fontId="3" fillId="3" borderId="0" xfId="0" applyFont="1" applyFill="1" applyBorder="1" applyAlignment="1">
      <alignment horizontal="left" vertical="center"/>
    </xf>
    <xf numFmtId="0" fontId="0" fillId="0" borderId="0" xfId="0" applyFont="1" applyBorder="1" applyAlignment="1">
      <alignment horizontal="center" vertical="center"/>
    </xf>
    <xf numFmtId="164" fontId="17" fillId="3" borderId="7" xfId="1" applyNumberFormat="1" applyFont="1" applyFill="1" applyBorder="1" applyAlignment="1">
      <alignment horizontal="center" vertical="center"/>
    </xf>
    <xf numFmtId="0" fontId="11" fillId="0" borderId="0" xfId="0" applyFont="1" applyFill="1" applyBorder="1" applyAlignment="1">
      <alignment horizontal="left" vertical="center"/>
    </xf>
    <xf numFmtId="0" fontId="18" fillId="0" borderId="0" xfId="0" applyFont="1" applyFill="1" applyBorder="1" applyAlignment="1">
      <alignment vertical="top" wrapText="1"/>
    </xf>
    <xf numFmtId="0" fontId="18" fillId="0" borderId="0" xfId="0" applyFont="1" applyBorder="1" applyAlignment="1">
      <alignment vertical="top" wrapText="1"/>
    </xf>
    <xf numFmtId="164" fontId="18" fillId="0" borderId="0" xfId="1" applyNumberFormat="1" applyFont="1" applyFill="1" applyBorder="1" applyAlignment="1">
      <alignment horizontal="center" vertical="top" wrapText="1"/>
    </xf>
    <xf numFmtId="0" fontId="9" fillId="2"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left" vertical="top" wrapText="1"/>
    </xf>
    <xf numFmtId="0" fontId="0" fillId="0" borderId="0" xfId="0" applyFont="1" applyFill="1" applyBorder="1" applyAlignment="1">
      <alignment horizontal="center" vertical="center"/>
    </xf>
    <xf numFmtId="0" fontId="15" fillId="0" borderId="0" xfId="0" applyFont="1" applyFill="1" applyBorder="1" applyAlignment="1">
      <alignment vertical="center"/>
    </xf>
    <xf numFmtId="0" fontId="5" fillId="0" borderId="0" xfId="0" applyFont="1" applyBorder="1" applyAlignment="1">
      <alignment vertical="center" wrapText="1"/>
    </xf>
    <xf numFmtId="0" fontId="9" fillId="2" borderId="0" xfId="0" applyFont="1" applyFill="1" applyBorder="1" applyAlignment="1">
      <alignment vertical="center"/>
    </xf>
    <xf numFmtId="0" fontId="9" fillId="0" borderId="0" xfId="0" applyFont="1" applyFill="1" applyBorder="1" applyAlignment="1">
      <alignment horizontal="center" vertical="center" wrapText="1"/>
    </xf>
    <xf numFmtId="0" fontId="4" fillId="0" borderId="4" xfId="0" applyFont="1" applyBorder="1" applyAlignment="1">
      <alignment vertical="center"/>
    </xf>
    <xf numFmtId="0" fontId="6" fillId="0" borderId="4" xfId="0" applyFont="1" applyFill="1" applyBorder="1" applyAlignment="1">
      <alignment vertical="center"/>
    </xf>
    <xf numFmtId="164" fontId="6" fillId="0" borderId="0" xfId="0" applyNumberFormat="1" applyFont="1" applyFill="1" applyBorder="1" applyAlignment="1">
      <alignment vertical="center"/>
    </xf>
    <xf numFmtId="0" fontId="11" fillId="0" borderId="0" xfId="0" applyFont="1" applyFill="1" applyBorder="1" applyAlignment="1">
      <alignment horizontal="left" vertical="center" wrapText="1"/>
    </xf>
    <xf numFmtId="0" fontId="19" fillId="2" borderId="0" xfId="0" applyFont="1" applyFill="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Font="1" applyFill="1" applyBorder="1" applyAlignment="1">
      <alignment vertical="center" wrapText="1"/>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164" fontId="11" fillId="3" borderId="0" xfId="0" applyNumberFormat="1" applyFont="1" applyFill="1" applyBorder="1" applyAlignment="1">
      <alignment horizontal="center" vertical="center"/>
    </xf>
    <xf numFmtId="164" fontId="11" fillId="3" borderId="0" xfId="1" applyNumberFormat="1" applyFont="1" applyFill="1" applyBorder="1" applyAlignment="1">
      <alignment horizontal="left" vertical="center"/>
    </xf>
    <xf numFmtId="0" fontId="20" fillId="0" borderId="0" xfId="0" applyFont="1" applyBorder="1" applyAlignment="1">
      <alignment vertical="center"/>
    </xf>
    <xf numFmtId="164" fontId="18" fillId="0" borderId="0" xfId="1" applyNumberFormat="1" applyFont="1" applyFill="1" applyBorder="1" applyAlignment="1">
      <alignment horizontal="left" vertical="top" wrapText="1"/>
    </xf>
    <xf numFmtId="0" fontId="3" fillId="3" borderId="0" xfId="0" applyFont="1" applyFill="1" applyBorder="1" applyAlignment="1">
      <alignment vertical="center" wrapText="1"/>
    </xf>
    <xf numFmtId="164" fontId="4" fillId="3" borderId="0" xfId="0" applyNumberFormat="1" applyFont="1" applyFill="1" applyBorder="1" applyAlignment="1">
      <alignment horizontal="center" vertical="center"/>
    </xf>
    <xf numFmtId="0" fontId="4" fillId="3" borderId="0" xfId="0" applyFont="1" applyFill="1" applyBorder="1" applyAlignment="1">
      <alignment horizontal="left" vertical="center"/>
    </xf>
    <xf numFmtId="0" fontId="0" fillId="0" borderId="0" xfId="0" applyFont="1" applyBorder="1" applyAlignment="1">
      <alignment vertical="center" wrapText="1"/>
    </xf>
    <xf numFmtId="164" fontId="0" fillId="0" borderId="0" xfId="1" applyNumberFormat="1" applyFont="1" applyFill="1" applyBorder="1" applyAlignment="1">
      <alignment horizontal="left" vertical="center"/>
    </xf>
    <xf numFmtId="164" fontId="4" fillId="3" borderId="0" xfId="0" applyNumberFormat="1" applyFont="1" applyFill="1" applyBorder="1" applyAlignment="1">
      <alignment horizontal="left" vertical="center"/>
    </xf>
    <xf numFmtId="0" fontId="2" fillId="0" borderId="0" xfId="0" applyFont="1" applyFill="1" applyBorder="1" applyAlignment="1">
      <alignment vertical="center" wrapText="1"/>
    </xf>
    <xf numFmtId="164" fontId="0" fillId="6" borderId="0" xfId="1" applyNumberFormat="1" applyFont="1" applyFill="1" applyBorder="1" applyAlignment="1">
      <alignment horizontal="left" vertical="center"/>
    </xf>
    <xf numFmtId="0" fontId="0" fillId="6" borderId="0" xfId="0" applyFont="1" applyFill="1" applyBorder="1" applyAlignment="1">
      <alignment vertical="center"/>
    </xf>
    <xf numFmtId="164" fontId="0" fillId="6" borderId="0" xfId="1" applyNumberFormat="1" applyFont="1" applyFill="1" applyBorder="1" applyAlignment="1">
      <alignment horizontal="center" vertical="center"/>
    </xf>
    <xf numFmtId="164" fontId="0" fillId="6" borderId="0" xfId="0" applyNumberFormat="1" applyFont="1" applyFill="1" applyBorder="1" applyAlignment="1">
      <alignment vertical="center" wrapText="1"/>
    </xf>
    <xf numFmtId="164" fontId="0" fillId="0" borderId="0" xfId="0" applyNumberFormat="1" applyFont="1" applyBorder="1" applyAlignment="1">
      <alignment horizontal="left"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164" fontId="21" fillId="0" borderId="0" xfId="0" applyNumberFormat="1" applyFont="1" applyBorder="1" applyAlignment="1">
      <alignment vertical="center"/>
    </xf>
    <xf numFmtId="0" fontId="4" fillId="4" borderId="0" xfId="0" applyFont="1" applyFill="1" applyBorder="1" applyAlignment="1">
      <alignment horizontal="left" vertical="center"/>
    </xf>
    <xf numFmtId="0" fontId="9" fillId="2" borderId="0" xfId="0"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3" borderId="3" xfId="0" applyFont="1" applyFill="1" applyBorder="1" applyAlignment="1">
      <alignment horizontal="left" vertical="center" wrapText="1"/>
    </xf>
    <xf numFmtId="0" fontId="0" fillId="3" borderId="3" xfId="0" applyFont="1" applyFill="1" applyBorder="1" applyAlignment="1">
      <alignment horizontal="left" vertical="center"/>
    </xf>
    <xf numFmtId="0" fontId="0" fillId="3" borderId="1" xfId="0" applyFont="1" applyFill="1" applyBorder="1" applyAlignment="1">
      <alignment horizontal="lef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164" fontId="4" fillId="3" borderId="3" xfId="1" applyNumberFormat="1" applyFont="1" applyFill="1" applyBorder="1" applyAlignment="1">
      <alignment horizontal="center" vertical="center"/>
    </xf>
    <xf numFmtId="164" fontId="4" fillId="3" borderId="1" xfId="1" applyNumberFormat="1"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5" borderId="0" xfId="0" applyFont="1" applyFill="1" applyBorder="1" applyAlignment="1">
      <alignment horizontal="center" vertical="center"/>
    </xf>
    <xf numFmtId="0" fontId="0"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6" xfId="0" applyFont="1" applyFill="1" applyBorder="1" applyAlignment="1">
      <alignment horizontal="left"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164" fontId="17" fillId="3" borderId="1" xfId="1" applyNumberFormat="1" applyFont="1" applyFill="1" applyBorder="1" applyAlignment="1">
      <alignment horizontal="center" vertical="center"/>
    </xf>
    <xf numFmtId="164" fontId="17" fillId="3" borderId="3" xfId="1" applyNumberFormat="1" applyFont="1" applyFill="1" applyBorder="1" applyAlignment="1">
      <alignment horizontal="center" vertical="center"/>
    </xf>
    <xf numFmtId="0" fontId="22" fillId="3" borderId="0" xfId="0" applyFont="1" applyFill="1" applyBorder="1" applyAlignment="1">
      <alignment horizontal="left" vertical="center"/>
    </xf>
    <xf numFmtId="0" fontId="23" fillId="3" borderId="0" xfId="0" applyFont="1" applyFill="1" applyBorder="1" applyAlignment="1">
      <alignment vertical="center"/>
    </xf>
    <xf numFmtId="0" fontId="23" fillId="3" borderId="0" xfId="0" applyFont="1" applyFill="1" applyBorder="1" applyAlignment="1">
      <alignment horizontal="center" vertical="center"/>
    </xf>
    <xf numFmtId="0" fontId="22" fillId="3" borderId="0" xfId="0" applyFont="1" applyFill="1" applyBorder="1" applyAlignment="1">
      <alignment horizontal="center" vertical="center"/>
    </xf>
    <xf numFmtId="0" fontId="23" fillId="3" borderId="0" xfId="0" applyFont="1" applyFill="1" applyBorder="1" applyAlignment="1">
      <alignment horizontal="left" vertical="center"/>
    </xf>
    <xf numFmtId="0" fontId="23" fillId="0" borderId="0" xfId="0" applyFont="1" applyFill="1" applyBorder="1" applyAlignment="1">
      <alignment vertical="center"/>
    </xf>
    <xf numFmtId="0" fontId="22" fillId="0" borderId="0" xfId="0" applyFont="1" applyBorder="1" applyAlignment="1">
      <alignment vertical="center"/>
    </xf>
    <xf numFmtId="0" fontId="0" fillId="0" borderId="0" xfId="0" applyFont="1" applyBorder="1" applyAlignment="1">
      <alignment horizontal="center" vertical="center" wrapText="1"/>
    </xf>
    <xf numFmtId="164" fontId="0" fillId="0" borderId="0" xfId="1" applyNumberFormat="1" applyFont="1" applyBorder="1" applyAlignment="1">
      <alignment horizontal="center" vertical="center" wrapText="1"/>
    </xf>
    <xf numFmtId="0" fontId="0" fillId="3" borderId="0" xfId="0" applyFont="1" applyFill="1" applyBorder="1" applyAlignment="1">
      <alignment horizontal="center" vertical="center" wrapText="1"/>
    </xf>
    <xf numFmtId="164" fontId="0" fillId="3" borderId="0" xfId="1" applyNumberFormat="1" applyFont="1" applyFill="1" applyBorder="1" applyAlignment="1">
      <alignment horizontal="center" vertical="center" wrapText="1"/>
    </xf>
    <xf numFmtId="164" fontId="0" fillId="3" borderId="0" xfId="1" applyNumberFormat="1" applyFont="1" applyFill="1" applyBorder="1" applyAlignment="1">
      <alignment horizontal="left" vertical="center" wrapText="1"/>
    </xf>
    <xf numFmtId="0" fontId="0" fillId="0" borderId="0" xfId="0" applyFont="1" applyFill="1" applyBorder="1" applyAlignment="1">
      <alignment horizontal="center" vertical="center" wrapText="1"/>
    </xf>
    <xf numFmtId="164" fontId="0" fillId="0" borderId="0" xfId="1" applyNumberFormat="1" applyFont="1" applyFill="1" applyBorder="1" applyAlignment="1">
      <alignment horizontal="center" vertical="center" wrapText="1"/>
    </xf>
    <xf numFmtId="0" fontId="15" fillId="0" borderId="0" xfId="0" applyFont="1" applyFill="1" applyBorder="1" applyAlignment="1">
      <alignment vertical="center" wrapText="1"/>
    </xf>
    <xf numFmtId="0" fontId="0" fillId="7" borderId="0" xfId="0" applyFont="1" applyFill="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0" fillId="3" borderId="8" xfId="0" applyFont="1" applyFill="1" applyBorder="1" applyAlignment="1">
      <alignment horizontal="center" vertical="center"/>
    </xf>
    <xf numFmtId="0" fontId="0" fillId="3" borderId="9" xfId="0" applyFont="1" applyFill="1" applyBorder="1" applyAlignment="1">
      <alignment horizontal="center" vertical="center"/>
    </xf>
    <xf numFmtId="164" fontId="0" fillId="0" borderId="8" xfId="1" applyNumberFormat="1" applyFont="1" applyBorder="1" applyAlignment="1">
      <alignment horizontal="center" vertical="center"/>
    </xf>
    <xf numFmtId="164" fontId="0" fillId="0" borderId="9" xfId="1" applyNumberFormat="1" applyFont="1" applyBorder="1" applyAlignment="1">
      <alignment horizontal="center" vertical="center"/>
    </xf>
    <xf numFmtId="164" fontId="0" fillId="3" borderId="8" xfId="0" applyNumberFormat="1" applyFont="1" applyFill="1" applyBorder="1" applyAlignment="1">
      <alignment horizontal="center" vertical="center"/>
    </xf>
    <xf numFmtId="164" fontId="0" fillId="3" borderId="9" xfId="0" applyNumberFormat="1" applyFont="1" applyFill="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164" fontId="4" fillId="4" borderId="8" xfId="1" applyNumberFormat="1" applyFont="1" applyFill="1" applyBorder="1" applyAlignment="1">
      <alignment horizontal="center" vertical="center"/>
    </xf>
    <xf numFmtId="164" fontId="4" fillId="4" borderId="9" xfId="1" applyNumberFormat="1" applyFont="1" applyFill="1" applyBorder="1" applyAlignment="1">
      <alignment horizontal="center" vertical="center"/>
    </xf>
    <xf numFmtId="164" fontId="21" fillId="0" borderId="8" xfId="0" applyNumberFormat="1" applyFont="1" applyBorder="1" applyAlignment="1">
      <alignment vertical="center"/>
    </xf>
    <xf numFmtId="164" fontId="21" fillId="0" borderId="9" xfId="0" applyNumberFormat="1" applyFont="1" applyBorder="1" applyAlignment="1">
      <alignment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0" fillId="0" borderId="8" xfId="0" applyFont="1" applyBorder="1" applyAlignment="1">
      <alignment vertical="center"/>
    </xf>
    <xf numFmtId="0" fontId="0" fillId="0" borderId="9" xfId="0" applyFont="1" applyBorder="1" applyAlignment="1">
      <alignment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164" fontId="0" fillId="5" borderId="8" xfId="1" applyNumberFormat="1" applyFont="1" applyFill="1" applyBorder="1" applyAlignment="1">
      <alignment horizontal="center" vertical="center"/>
    </xf>
    <xf numFmtId="164" fontId="0" fillId="5" borderId="9" xfId="1" applyNumberFormat="1" applyFont="1" applyFill="1" applyBorder="1" applyAlignment="1">
      <alignment horizontal="center" vertical="center"/>
    </xf>
    <xf numFmtId="164" fontId="4" fillId="4" borderId="12" xfId="1" applyNumberFormat="1" applyFont="1" applyFill="1" applyBorder="1" applyAlignment="1">
      <alignment horizontal="center" vertical="center"/>
    </xf>
    <xf numFmtId="164" fontId="4" fillId="4" borderId="13" xfId="1" applyNumberFormat="1" applyFont="1" applyFill="1" applyBorder="1" applyAlignment="1">
      <alignment horizontal="center" vertical="center"/>
    </xf>
    <xf numFmtId="0" fontId="22" fillId="8" borderId="0" xfId="0" applyFont="1" applyFill="1" applyBorder="1" applyAlignment="1">
      <alignment horizontal="center" vertical="center"/>
    </xf>
    <xf numFmtId="0" fontId="22" fillId="8" borderId="0" xfId="0" applyFont="1" applyFill="1" applyBorder="1" applyAlignment="1">
      <alignment vertical="center"/>
    </xf>
    <xf numFmtId="165" fontId="22" fillId="8" borderId="0" xfId="0" applyNumberFormat="1" applyFont="1" applyFill="1" applyBorder="1" applyAlignment="1">
      <alignment horizontal="center" vertical="center"/>
    </xf>
    <xf numFmtId="164" fontId="22" fillId="8" borderId="0" xfId="1" applyNumberFormat="1" applyFont="1" applyFill="1" applyBorder="1" applyAlignment="1">
      <alignment horizontal="center" vertical="center"/>
    </xf>
    <xf numFmtId="164" fontId="22" fillId="8" borderId="8" xfId="1" applyNumberFormat="1" applyFont="1" applyFill="1" applyBorder="1" applyAlignment="1">
      <alignment horizontal="center" vertical="center"/>
    </xf>
    <xf numFmtId="164" fontId="22" fillId="8" borderId="9" xfId="1" applyNumberFormat="1" applyFont="1" applyFill="1" applyBorder="1" applyAlignment="1">
      <alignment horizontal="center" vertical="center"/>
    </xf>
    <xf numFmtId="164" fontId="22" fillId="8" borderId="0" xfId="1" applyNumberFormat="1" applyFont="1" applyFill="1" applyBorder="1" applyAlignment="1">
      <alignment horizontal="left" vertical="center"/>
    </xf>
    <xf numFmtId="164" fontId="22" fillId="0" borderId="0" xfId="0" applyNumberFormat="1" applyFont="1" applyBorder="1" applyAlignment="1">
      <alignment vertical="center"/>
    </xf>
    <xf numFmtId="0" fontId="22" fillId="8" borderId="0" xfId="0" applyFont="1" applyFill="1" applyBorder="1" applyAlignment="1">
      <alignment vertical="center" wrapText="1"/>
    </xf>
    <xf numFmtId="0" fontId="22" fillId="0" borderId="0" xfId="0" applyFont="1" applyBorder="1" applyAlignment="1">
      <alignment horizontal="center" vertical="center"/>
    </xf>
    <xf numFmtId="164" fontId="22" fillId="8" borderId="0" xfId="1" quotePrefix="1" applyNumberFormat="1" applyFont="1" applyFill="1" applyBorder="1" applyAlignment="1">
      <alignment horizontal="left" vertical="center"/>
    </xf>
    <xf numFmtId="0" fontId="22" fillId="0" borderId="0" xfId="0" applyFont="1" applyFill="1" applyBorder="1" applyAlignment="1">
      <alignment vertical="center"/>
    </xf>
    <xf numFmtId="164" fontId="22" fillId="0" borderId="0" xfId="0" applyNumberFormat="1" applyFont="1" applyFill="1" applyBorder="1" applyAlignment="1">
      <alignment vertical="center"/>
    </xf>
    <xf numFmtId="0" fontId="19" fillId="9" borderId="10" xfId="0" applyFont="1" applyFill="1" applyBorder="1" applyAlignment="1">
      <alignment horizontal="center" vertical="center"/>
    </xf>
    <xf numFmtId="0" fontId="19" fillId="9" borderId="14" xfId="0" applyFont="1" applyFill="1" applyBorder="1" applyAlignment="1">
      <alignment horizontal="center" vertical="center"/>
    </xf>
    <xf numFmtId="0" fontId="19" fillId="9" borderId="11" xfId="0" applyFont="1" applyFill="1" applyBorder="1" applyAlignment="1">
      <alignment horizontal="center" vertical="center"/>
    </xf>
    <xf numFmtId="0" fontId="1" fillId="6" borderId="0" xfId="0" applyFont="1" applyFill="1" applyBorder="1" applyAlignment="1">
      <alignment horizontal="center" vertical="center"/>
    </xf>
    <xf numFmtId="164" fontId="19" fillId="9" borderId="10" xfId="1" applyNumberFormat="1" applyFont="1" applyFill="1" applyBorder="1" applyAlignment="1">
      <alignment horizontal="center" vertical="center"/>
    </xf>
    <xf numFmtId="164" fontId="19" fillId="9" borderId="14" xfId="1" applyNumberFormat="1" applyFont="1" applyFill="1" applyBorder="1" applyAlignment="1">
      <alignment horizontal="center" vertical="center"/>
    </xf>
    <xf numFmtId="164" fontId="19" fillId="9" borderId="11" xfId="1" applyNumberFormat="1" applyFont="1" applyFill="1" applyBorder="1" applyAlignment="1">
      <alignment horizontal="center" vertical="center"/>
    </xf>
    <xf numFmtId="0" fontId="1" fillId="0" borderId="0" xfId="0" applyFont="1" applyBorder="1" applyAlignment="1">
      <alignment vertical="center"/>
    </xf>
    <xf numFmtId="0" fontId="4" fillId="10" borderId="8" xfId="0" applyFont="1" applyFill="1" applyBorder="1" applyAlignment="1">
      <alignment horizontal="center" vertical="center"/>
    </xf>
    <xf numFmtId="0" fontId="0" fillId="10" borderId="0" xfId="0" applyFont="1" applyFill="1" applyBorder="1" applyAlignment="1">
      <alignment horizontal="left" vertical="center"/>
    </xf>
    <xf numFmtId="164" fontId="0" fillId="10" borderId="0" xfId="1" applyNumberFormat="1" applyFont="1" applyFill="1" applyBorder="1" applyAlignment="1">
      <alignment horizontal="center" vertical="center"/>
    </xf>
    <xf numFmtId="164" fontId="0" fillId="10" borderId="8" xfId="1" applyNumberFormat="1" applyFont="1" applyFill="1" applyBorder="1" applyAlignment="1">
      <alignment horizontal="center" vertical="center"/>
    </xf>
    <xf numFmtId="164" fontId="0" fillId="10" borderId="9" xfId="1" applyNumberFormat="1" applyFont="1" applyFill="1" applyBorder="1" applyAlignment="1">
      <alignment horizontal="center" vertical="center"/>
    </xf>
    <xf numFmtId="0" fontId="0" fillId="6" borderId="0"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15" xfId="0" applyFont="1" applyFill="1" applyBorder="1" applyAlignment="1">
      <alignment horizontal="left" vertical="center"/>
    </xf>
    <xf numFmtId="164" fontId="19" fillId="9" borderId="15" xfId="1" applyNumberFormat="1" applyFont="1" applyFill="1" applyBorder="1" applyAlignment="1">
      <alignment horizontal="center" vertical="center"/>
    </xf>
    <xf numFmtId="164" fontId="19" fillId="9" borderId="12" xfId="1" applyNumberFormat="1" applyFont="1" applyFill="1" applyBorder="1" applyAlignment="1">
      <alignment horizontal="center" vertical="center"/>
    </xf>
    <xf numFmtId="164" fontId="19" fillId="9" borderId="13" xfId="1" applyNumberFormat="1" applyFont="1" applyFill="1" applyBorder="1" applyAlignment="1">
      <alignment horizontal="center" vertical="center"/>
    </xf>
    <xf numFmtId="0" fontId="10" fillId="6" borderId="0" xfId="0" applyFont="1" applyFill="1" applyBorder="1" applyAlignment="1">
      <alignment horizontal="center" vertical="center"/>
    </xf>
    <xf numFmtId="0" fontId="10" fillId="0" borderId="0" xfId="0" applyFont="1" applyBorder="1" applyAlignment="1">
      <alignment vertical="center"/>
    </xf>
    <xf numFmtId="164" fontId="10" fillId="0" borderId="0" xfId="0" applyNumberFormat="1" applyFont="1" applyBorder="1" applyAlignment="1">
      <alignment vertical="center"/>
    </xf>
  </cellXfs>
  <cellStyles count="2">
    <cellStyle name="Millares" xfId="1" builtinId="3"/>
    <cellStyle name="Normal" xfId="0" builtinId="0"/>
  </cellStyles>
  <dxfs count="0"/>
  <tableStyles count="0" defaultTableStyle="TableStyleMedium2" defaultPivotStyle="PivotStyleLight16"/>
  <colors>
    <mruColors>
      <color rgb="FFECEADC"/>
      <color rgb="FFFFF13B"/>
      <color rgb="FFC7C0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694765</xdr:colOff>
      <xdr:row>0</xdr:row>
      <xdr:rowOff>51867</xdr:rowOff>
    </xdr:from>
    <xdr:to>
      <xdr:col>7</xdr:col>
      <xdr:colOff>974751</xdr:colOff>
      <xdr:row>2</xdr:row>
      <xdr:rowOff>190500</xdr:rowOff>
    </xdr:to>
    <xdr:pic>
      <xdr:nvPicPr>
        <xdr:cNvPr id="2" name="Imagen 1">
          <a:extLst>
            <a:ext uri="{FF2B5EF4-FFF2-40B4-BE49-F238E27FC236}">
              <a16:creationId xmlns:a16="http://schemas.microsoft.com/office/drawing/2014/main" id="{9436C12B-7AD7-4D52-A83F-B7A9FD4136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1490" y="51867"/>
          <a:ext cx="3223211" cy="6910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22412</xdr:colOff>
      <xdr:row>0</xdr:row>
      <xdr:rowOff>22411</xdr:rowOff>
    </xdr:from>
    <xdr:to>
      <xdr:col>13</xdr:col>
      <xdr:colOff>515471</xdr:colOff>
      <xdr:row>2</xdr:row>
      <xdr:rowOff>161044</xdr:rowOff>
    </xdr:to>
    <xdr:pic>
      <xdr:nvPicPr>
        <xdr:cNvPr id="2" name="Imagen 1">
          <a:extLst>
            <a:ext uri="{FF2B5EF4-FFF2-40B4-BE49-F238E27FC236}">
              <a16:creationId xmlns:a16="http://schemas.microsoft.com/office/drawing/2014/main" id="{76827791-CC04-4CD9-8BD9-027B32ECC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49118" y="22411"/>
          <a:ext cx="3451411" cy="68772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201707</xdr:colOff>
      <xdr:row>0</xdr:row>
      <xdr:rowOff>89647</xdr:rowOff>
    </xdr:from>
    <xdr:to>
      <xdr:col>5</xdr:col>
      <xdr:colOff>1944222</xdr:colOff>
      <xdr:row>2</xdr:row>
      <xdr:rowOff>171450</xdr:rowOff>
    </xdr:to>
    <xdr:pic>
      <xdr:nvPicPr>
        <xdr:cNvPr id="2" name="Imagen 1">
          <a:extLst>
            <a:ext uri="{FF2B5EF4-FFF2-40B4-BE49-F238E27FC236}">
              <a16:creationId xmlns:a16="http://schemas.microsoft.com/office/drawing/2014/main" id="{B3E26914-CCE8-452F-B4F0-C9E5FF2E300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0107" y="89647"/>
          <a:ext cx="2790265" cy="63425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S.%20Plan%20economique%20Rdeidia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general"/>
      <sheetName val="Plan economique (PAS)"/>
      <sheetName val="Plan economique (PAS) 2"/>
      <sheetName val="Apport CRM"/>
    </sheetNames>
    <sheetDataSet>
      <sheetData sheetId="0"/>
      <sheetData sheetId="1">
        <row r="43">
          <cell r="C43">
            <v>1</v>
          </cell>
          <cell r="D43" t="str">
            <v>forfait</v>
          </cell>
        </row>
      </sheetData>
      <sheetData sheetId="2"/>
      <sheetData sheetId="3"/>
    </sheetDataSet>
  </externalBook>
</externalLink>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
  <sheetViews>
    <sheetView zoomScale="85" zoomScaleNormal="85" zoomScalePageLayoutView="85" workbookViewId="0">
      <pane ySplit="3" topLeftCell="A4" activePane="bottomLeft" state="frozen"/>
      <selection pane="bottomLeft" activeCell="A7" sqref="A7:B7"/>
    </sheetView>
  </sheetViews>
  <sheetFormatPr baseColWidth="10" defaultColWidth="10.85546875" defaultRowHeight="15" x14ac:dyDescent="0.25"/>
  <cols>
    <col min="1" max="1" width="10.140625" style="9" customWidth="1"/>
    <col min="2" max="2" width="39.28515625" style="9" customWidth="1"/>
    <col min="3" max="8" width="14.7109375" style="9" customWidth="1"/>
    <col min="9" max="9" width="47.28515625" style="66" customWidth="1"/>
    <col min="10" max="10" width="19.42578125" style="37" hidden="1" customWidth="1"/>
    <col min="11" max="16384" width="10.85546875" style="9"/>
  </cols>
  <sheetData>
    <row r="1" spans="1:11" ht="28.5" x14ac:dyDescent="0.25">
      <c r="A1" s="26" t="s">
        <v>53</v>
      </c>
      <c r="B1" s="4"/>
      <c r="C1" s="5"/>
      <c r="D1" s="5"/>
      <c r="E1" s="5"/>
      <c r="G1" s="10"/>
      <c r="H1" s="10"/>
    </row>
    <row r="2" spans="1:11" x14ac:dyDescent="0.25">
      <c r="A2" s="1"/>
      <c r="B2" s="7"/>
      <c r="C2" s="5"/>
      <c r="D2" s="5"/>
      <c r="E2" s="5"/>
      <c r="G2" s="10"/>
      <c r="H2" s="10"/>
    </row>
    <row r="3" spans="1:11" ht="18.75" x14ac:dyDescent="0.25">
      <c r="A3" s="27" t="s">
        <v>52</v>
      </c>
      <c r="B3" s="4"/>
      <c r="G3" s="10"/>
      <c r="H3" s="10"/>
    </row>
    <row r="4" spans="1:11" x14ac:dyDescent="0.25">
      <c r="A4" s="1"/>
      <c r="B4" s="4"/>
      <c r="G4" s="10"/>
      <c r="H4" s="10"/>
    </row>
    <row r="5" spans="1:11" ht="18.75" customHeight="1" x14ac:dyDescent="0.25">
      <c r="A5" s="115" t="s">
        <v>35</v>
      </c>
      <c r="B5" s="115"/>
      <c r="C5" s="115"/>
      <c r="D5" s="115"/>
      <c r="E5" s="115"/>
      <c r="F5" s="115"/>
      <c r="G5" s="115"/>
      <c r="H5" s="115"/>
      <c r="J5" s="38"/>
      <c r="K5" s="2"/>
    </row>
    <row r="6" spans="1:11" ht="18.75" customHeight="1" thickBot="1" x14ac:dyDescent="0.3">
      <c r="A6" s="14"/>
      <c r="B6" s="14"/>
      <c r="C6" s="14"/>
      <c r="D6" s="14"/>
      <c r="E6" s="14"/>
      <c r="F6" s="14"/>
      <c r="G6" s="14"/>
      <c r="H6" s="14"/>
      <c r="I6" s="67"/>
      <c r="J6" s="38" t="s">
        <v>63</v>
      </c>
      <c r="K6" s="2"/>
    </row>
    <row r="7" spans="1:11" ht="45.75" customHeight="1" thickBot="1" x14ac:dyDescent="0.3">
      <c r="A7" s="116" t="s">
        <v>232</v>
      </c>
      <c r="B7" s="117"/>
      <c r="C7" s="118" t="s">
        <v>172</v>
      </c>
      <c r="D7" s="118"/>
      <c r="E7" s="119"/>
      <c r="F7" s="119"/>
      <c r="G7" s="119"/>
      <c r="H7" s="120"/>
      <c r="J7" s="38" t="s">
        <v>59</v>
      </c>
    </row>
    <row r="8" spans="1:11" ht="18" customHeight="1" thickBot="1" x14ac:dyDescent="0.3">
      <c r="A8" s="116" t="s">
        <v>45</v>
      </c>
      <c r="B8" s="117"/>
      <c r="C8" s="119" t="s">
        <v>116</v>
      </c>
      <c r="D8" s="119"/>
      <c r="E8" s="119"/>
      <c r="F8" s="119"/>
      <c r="G8" s="119"/>
      <c r="H8" s="120"/>
      <c r="J8" s="38" t="s">
        <v>65</v>
      </c>
    </row>
    <row r="9" spans="1:11" ht="18" customHeight="1" thickBot="1" x14ac:dyDescent="0.3">
      <c r="A9" s="47" t="s">
        <v>46</v>
      </c>
      <c r="B9" s="48"/>
      <c r="C9" s="16"/>
      <c r="D9" s="16"/>
      <c r="E9" s="47" t="s">
        <v>34</v>
      </c>
      <c r="F9" s="17" t="s">
        <v>117</v>
      </c>
      <c r="G9" s="17"/>
      <c r="H9" s="18"/>
      <c r="J9" s="38" t="s">
        <v>64</v>
      </c>
    </row>
    <row r="10" spans="1:11" ht="18" customHeight="1" thickBot="1" x14ac:dyDescent="0.3">
      <c r="A10" s="15"/>
      <c r="B10" s="15"/>
      <c r="E10" s="7"/>
      <c r="F10" s="7"/>
      <c r="G10" s="7"/>
      <c r="H10" s="7"/>
      <c r="J10" s="38" t="s">
        <v>68</v>
      </c>
      <c r="K10" s="2"/>
    </row>
    <row r="11" spans="1:11" ht="16.5" thickBot="1" x14ac:dyDescent="0.3">
      <c r="A11" s="116" t="s">
        <v>37</v>
      </c>
      <c r="B11" s="117"/>
      <c r="C11" s="117"/>
      <c r="D11" s="117"/>
      <c r="E11" s="117"/>
      <c r="F11" s="117"/>
      <c r="G11" s="121" t="s">
        <v>64</v>
      </c>
      <c r="H11" s="122"/>
      <c r="J11" s="38" t="s">
        <v>61</v>
      </c>
    </row>
    <row r="12" spans="1:11" s="3" customFormat="1" ht="16.5" thickBot="1" x14ac:dyDescent="0.3">
      <c r="A12" s="123" t="s">
        <v>36</v>
      </c>
      <c r="B12" s="124"/>
      <c r="C12" s="137">
        <v>85000</v>
      </c>
      <c r="D12" s="136"/>
      <c r="E12" s="123" t="s">
        <v>47</v>
      </c>
      <c r="F12" s="124"/>
      <c r="G12" s="125"/>
      <c r="H12" s="126"/>
      <c r="I12" s="68"/>
      <c r="J12" s="39" t="s">
        <v>62</v>
      </c>
    </row>
    <row r="13" spans="1:11" x14ac:dyDescent="0.25">
      <c r="A13" s="13"/>
      <c r="B13" s="13"/>
      <c r="C13" s="12"/>
      <c r="D13" s="12"/>
      <c r="E13" s="12"/>
      <c r="F13" s="12"/>
      <c r="G13" s="12"/>
      <c r="H13" s="12"/>
      <c r="I13" s="12"/>
      <c r="J13" s="40" t="s">
        <v>60</v>
      </c>
      <c r="K13" s="3"/>
    </row>
    <row r="14" spans="1:11" ht="18.75" x14ac:dyDescent="0.25">
      <c r="A14" s="115" t="s">
        <v>4</v>
      </c>
      <c r="B14" s="115"/>
      <c r="C14" s="115"/>
      <c r="D14" s="115"/>
      <c r="E14" s="115"/>
      <c r="F14" s="115"/>
      <c r="G14" s="115" t="s">
        <v>32</v>
      </c>
      <c r="H14" s="115"/>
      <c r="I14" s="69" t="s">
        <v>100</v>
      </c>
    </row>
    <row r="15" spans="1:11" x14ac:dyDescent="0.25">
      <c r="A15" s="6" t="s">
        <v>8</v>
      </c>
      <c r="B15" s="6" t="s">
        <v>2</v>
      </c>
      <c r="C15" s="6" t="s">
        <v>48</v>
      </c>
      <c r="D15" s="6" t="s">
        <v>3</v>
      </c>
      <c r="E15" s="6" t="s">
        <v>38</v>
      </c>
      <c r="F15" s="6" t="s">
        <v>1</v>
      </c>
      <c r="G15" s="19" t="s">
        <v>44</v>
      </c>
      <c r="H15" s="19" t="s">
        <v>51</v>
      </c>
      <c r="I15" s="70"/>
    </row>
    <row r="16" spans="1:11" x14ac:dyDescent="0.25">
      <c r="A16" s="71" t="s">
        <v>13</v>
      </c>
      <c r="B16" s="9" t="s">
        <v>123</v>
      </c>
      <c r="C16" s="71">
        <v>1</v>
      </c>
      <c r="D16" s="150" t="s">
        <v>139</v>
      </c>
      <c r="E16" s="32">
        <v>20500</v>
      </c>
      <c r="F16" s="32">
        <f>C16*E16</f>
        <v>20500</v>
      </c>
      <c r="G16" s="24">
        <v>20</v>
      </c>
      <c r="H16" s="30">
        <f>1/G16*F16</f>
        <v>1025</v>
      </c>
      <c r="I16" s="53"/>
    </row>
    <row r="17" spans="1:10" x14ac:dyDescent="0.25">
      <c r="A17" s="78" t="s">
        <v>14</v>
      </c>
      <c r="B17" s="9" t="s">
        <v>174</v>
      </c>
      <c r="C17" s="46">
        <v>1</v>
      </c>
      <c r="D17" s="150" t="s">
        <v>139</v>
      </c>
      <c r="E17" s="32">
        <v>4000</v>
      </c>
      <c r="F17" s="32">
        <f t="shared" ref="F17:F19" si="0">C17*E17</f>
        <v>4000</v>
      </c>
      <c r="G17" s="24">
        <v>10</v>
      </c>
      <c r="H17" s="30">
        <f t="shared" ref="H17" si="1">1/G17*F17</f>
        <v>400</v>
      </c>
      <c r="I17" s="53" t="s">
        <v>134</v>
      </c>
    </row>
    <row r="18" spans="1:10" s="11" customFormat="1" ht="30" x14ac:dyDescent="0.25">
      <c r="A18" s="78" t="s">
        <v>15</v>
      </c>
      <c r="B18" s="79" t="s">
        <v>175</v>
      </c>
      <c r="C18" s="80">
        <v>1</v>
      </c>
      <c r="D18" s="150" t="s">
        <v>139</v>
      </c>
      <c r="E18" s="64">
        <f>2000+1500</f>
        <v>3500</v>
      </c>
      <c r="F18" s="64">
        <f t="shared" si="0"/>
        <v>3500</v>
      </c>
      <c r="G18" s="24">
        <v>10</v>
      </c>
      <c r="H18" s="30">
        <f t="shared" ref="H18:H19" si="2">1/G18*F18</f>
        <v>350</v>
      </c>
      <c r="I18" s="53" t="s">
        <v>135</v>
      </c>
      <c r="J18" s="81"/>
    </row>
    <row r="19" spans="1:10" x14ac:dyDescent="0.25">
      <c r="A19" s="78" t="s">
        <v>16</v>
      </c>
      <c r="B19" s="9" t="s">
        <v>168</v>
      </c>
      <c r="C19" s="71">
        <v>2</v>
      </c>
      <c r="D19" s="145" t="s">
        <v>140</v>
      </c>
      <c r="E19" s="32">
        <v>2200</v>
      </c>
      <c r="F19" s="32">
        <f t="shared" si="0"/>
        <v>4400</v>
      </c>
      <c r="G19" s="24">
        <v>10</v>
      </c>
      <c r="H19" s="30">
        <f t="shared" si="2"/>
        <v>440</v>
      </c>
      <c r="I19" s="53"/>
    </row>
    <row r="20" spans="1:10" s="11" customFormat="1" ht="30" x14ac:dyDescent="0.25">
      <c r="A20" s="78" t="s">
        <v>17</v>
      </c>
      <c r="B20" s="79" t="s">
        <v>173</v>
      </c>
      <c r="C20" s="80">
        <v>1</v>
      </c>
      <c r="D20" s="150" t="s">
        <v>139</v>
      </c>
      <c r="E20" s="64">
        <f>2000</f>
        <v>2000</v>
      </c>
      <c r="F20" s="64">
        <f t="shared" ref="F20" si="3">C20*E20</f>
        <v>2000</v>
      </c>
      <c r="G20" s="24"/>
      <c r="H20" s="30"/>
      <c r="I20" s="53"/>
      <c r="J20" s="81"/>
    </row>
    <row r="21" spans="1:10" x14ac:dyDescent="0.25">
      <c r="A21" s="71"/>
      <c r="C21" s="71"/>
      <c r="D21" s="112"/>
      <c r="E21" s="32"/>
      <c r="F21" s="32"/>
      <c r="G21" s="24"/>
      <c r="H21" s="30"/>
      <c r="I21" s="53"/>
    </row>
    <row r="22" spans="1:10" s="7" customFormat="1" x14ac:dyDescent="0.25">
      <c r="A22" s="25" t="s">
        <v>9</v>
      </c>
      <c r="B22" s="114" t="s">
        <v>0</v>
      </c>
      <c r="C22" s="114"/>
      <c r="D22" s="114"/>
      <c r="E22" s="114"/>
      <c r="F22" s="31">
        <f>SUM(F16:F21)</f>
        <v>34400</v>
      </c>
      <c r="G22" s="20"/>
      <c r="H22" s="31">
        <f>SUM(H16:H21)</f>
        <v>2215</v>
      </c>
      <c r="I22" s="54"/>
      <c r="J22" s="39"/>
    </row>
    <row r="23" spans="1:10" x14ac:dyDescent="0.25">
      <c r="A23" s="7"/>
    </row>
    <row r="24" spans="1:10" s="144" customFormat="1" x14ac:dyDescent="0.25">
      <c r="A24" s="138"/>
      <c r="B24" s="139" t="s">
        <v>198</v>
      </c>
      <c r="C24" s="140"/>
      <c r="D24" s="140"/>
      <c r="E24" s="141"/>
      <c r="F24" s="141"/>
      <c r="G24" s="140"/>
      <c r="H24" s="140"/>
      <c r="I24" s="142"/>
      <c r="J24" s="143"/>
    </row>
    <row r="25" spans="1:10" s="102" customFormat="1" ht="14.45" customHeight="1" x14ac:dyDescent="0.25">
      <c r="A25" s="145" t="s">
        <v>13</v>
      </c>
      <c r="B25" s="102" t="s">
        <v>199</v>
      </c>
      <c r="C25" s="145">
        <v>1</v>
      </c>
      <c r="D25" s="145" t="s">
        <v>140</v>
      </c>
      <c r="E25" s="146">
        <v>3500</v>
      </c>
      <c r="F25" s="146">
        <f>C25*E25</f>
        <v>3500</v>
      </c>
      <c r="G25" s="147">
        <v>10</v>
      </c>
      <c r="H25" s="148">
        <f>1/G25*F25</f>
        <v>350</v>
      </c>
      <c r="I25" s="149"/>
      <c r="J25" s="38"/>
    </row>
    <row r="26" spans="1:10" s="102" customFormat="1" ht="14.45" customHeight="1" x14ac:dyDescent="0.25">
      <c r="A26" s="145" t="s">
        <v>14</v>
      </c>
      <c r="B26" s="102" t="s">
        <v>200</v>
      </c>
      <c r="C26" s="145">
        <v>1</v>
      </c>
      <c r="D26" s="150" t="s">
        <v>139</v>
      </c>
      <c r="E26" s="146">
        <v>3000</v>
      </c>
      <c r="F26" s="146">
        <f>C26*E26</f>
        <v>3000</v>
      </c>
      <c r="G26" s="147">
        <v>10</v>
      </c>
      <c r="H26" s="148">
        <f>1/G26*F26</f>
        <v>300</v>
      </c>
      <c r="I26" s="149" t="s">
        <v>201</v>
      </c>
      <c r="J26" s="38"/>
    </row>
    <row r="27" spans="1:10" s="102" customFormat="1" ht="30" x14ac:dyDescent="0.25">
      <c r="A27" s="145" t="s">
        <v>15</v>
      </c>
      <c r="B27" s="102" t="s">
        <v>202</v>
      </c>
      <c r="C27" s="145">
        <v>1</v>
      </c>
      <c r="D27" s="145" t="s">
        <v>140</v>
      </c>
      <c r="E27" s="146">
        <v>54000</v>
      </c>
      <c r="F27" s="146">
        <f t="shared" ref="F27" si="4">C27*E27</f>
        <v>54000</v>
      </c>
      <c r="G27" s="147">
        <v>5</v>
      </c>
      <c r="H27" s="148">
        <f t="shared" ref="H27:H30" si="5">1/G27*F27</f>
        <v>10800</v>
      </c>
      <c r="I27" s="149" t="s">
        <v>203</v>
      </c>
      <c r="J27" s="38"/>
    </row>
    <row r="28" spans="1:10" s="92" customFormat="1" x14ac:dyDescent="0.25">
      <c r="A28" s="145" t="s">
        <v>15</v>
      </c>
      <c r="B28" s="79" t="s">
        <v>207</v>
      </c>
      <c r="C28" s="150">
        <v>1</v>
      </c>
      <c r="D28" s="145" t="s">
        <v>140</v>
      </c>
      <c r="E28" s="151">
        <v>6000</v>
      </c>
      <c r="F28" s="146">
        <f>C28*E28</f>
        <v>6000</v>
      </c>
      <c r="G28" s="147">
        <v>10</v>
      </c>
      <c r="H28" s="148">
        <f t="shared" si="5"/>
        <v>600</v>
      </c>
      <c r="I28" s="149"/>
      <c r="J28" s="152"/>
    </row>
    <row r="29" spans="1:10" s="102" customFormat="1" x14ac:dyDescent="0.25">
      <c r="A29" s="145" t="s">
        <v>16</v>
      </c>
      <c r="B29" s="102" t="s">
        <v>208</v>
      </c>
      <c r="C29" s="145">
        <v>1</v>
      </c>
      <c r="D29" s="145" t="s">
        <v>140</v>
      </c>
      <c r="E29" s="146">
        <v>3000</v>
      </c>
      <c r="F29" s="146">
        <f>C29*E29</f>
        <v>3000</v>
      </c>
      <c r="G29" s="147">
        <v>10</v>
      </c>
      <c r="H29" s="148">
        <f t="shared" si="5"/>
        <v>300</v>
      </c>
      <c r="I29" s="149"/>
      <c r="J29" s="38"/>
    </row>
    <row r="30" spans="1:10" s="102" customFormat="1" x14ac:dyDescent="0.25">
      <c r="A30" s="145" t="s">
        <v>17</v>
      </c>
      <c r="B30" s="102" t="s">
        <v>204</v>
      </c>
      <c r="C30" s="145">
        <v>1</v>
      </c>
      <c r="D30" s="145" t="s">
        <v>139</v>
      </c>
      <c r="E30" s="146">
        <v>5000</v>
      </c>
      <c r="F30" s="146">
        <f>C30*E30</f>
        <v>5000</v>
      </c>
      <c r="G30" s="147">
        <v>10</v>
      </c>
      <c r="H30" s="148">
        <f t="shared" si="5"/>
        <v>500</v>
      </c>
      <c r="I30" s="149" t="s">
        <v>205</v>
      </c>
      <c r="J30" s="38"/>
    </row>
    <row r="31" spans="1:10" x14ac:dyDescent="0.25">
      <c r="A31" s="3"/>
      <c r="B31" s="3"/>
      <c r="C31" s="3"/>
      <c r="D31" s="3"/>
      <c r="E31" s="3"/>
      <c r="F31" s="3"/>
      <c r="G31" s="3"/>
      <c r="H31" s="3"/>
      <c r="I31" s="68"/>
    </row>
    <row r="32" spans="1:10" s="7" customFormat="1" x14ac:dyDescent="0.25">
      <c r="A32" s="111" t="s">
        <v>9</v>
      </c>
      <c r="B32" s="114" t="s">
        <v>206</v>
      </c>
      <c r="C32" s="114"/>
      <c r="D32" s="114"/>
      <c r="E32" s="114"/>
      <c r="F32" s="31">
        <f>SUM(F25:F31)</f>
        <v>74500</v>
      </c>
      <c r="G32" s="20"/>
      <c r="H32" s="31">
        <f>SUM(H25:H31)</f>
        <v>12850</v>
      </c>
      <c r="I32" s="54"/>
      <c r="J32" s="39"/>
    </row>
    <row r="46" spans="1:2" x14ac:dyDescent="0.25">
      <c r="A46" s="11"/>
      <c r="B46" s="11"/>
    </row>
    <row r="47" spans="1:2" x14ac:dyDescent="0.25">
      <c r="A47" s="11"/>
      <c r="B47" s="11"/>
    </row>
    <row r="48" spans="1:2" x14ac:dyDescent="0.25">
      <c r="A48" s="11"/>
      <c r="B48" s="11"/>
    </row>
    <row r="49" spans="1:2" x14ac:dyDescent="0.25">
      <c r="A49" s="11"/>
      <c r="B49" s="11"/>
    </row>
    <row r="50" spans="1:2" x14ac:dyDescent="0.25">
      <c r="A50" s="11"/>
      <c r="B50" s="11"/>
    </row>
    <row r="51" spans="1:2" x14ac:dyDescent="0.25">
      <c r="B51" s="11"/>
    </row>
  </sheetData>
  <mergeCells count="15">
    <mergeCell ref="B32:E32"/>
    <mergeCell ref="B22:E22"/>
    <mergeCell ref="A5:H5"/>
    <mergeCell ref="A7:B7"/>
    <mergeCell ref="C7:H7"/>
    <mergeCell ref="A8:B8"/>
    <mergeCell ref="C8:H8"/>
    <mergeCell ref="A11:F11"/>
    <mergeCell ref="G11:H11"/>
    <mergeCell ref="A12:B12"/>
    <mergeCell ref="E12:F12"/>
    <mergeCell ref="G12:H12"/>
    <mergeCell ref="A14:F14"/>
    <mergeCell ref="G14:H14"/>
    <mergeCell ref="C12:D12"/>
  </mergeCells>
  <dataValidations count="1">
    <dataValidation type="list" allowBlank="1" showInputMessage="1" showErrorMessage="1" sqref="G11:H11" xr:uid="{00000000-0002-0000-0000-000000000000}">
      <formula1>$J$7:$J$15</formula1>
    </dataValidation>
  </dataValidation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16"/>
  <sheetViews>
    <sheetView tabSelected="1" zoomScale="85" zoomScaleNormal="85" zoomScalePageLayoutView="85" workbookViewId="0">
      <pane ySplit="6" topLeftCell="A43" activePane="bottomLeft" state="frozen"/>
      <selection pane="bottomLeft" activeCell="B48" sqref="B48:F48"/>
    </sheetView>
  </sheetViews>
  <sheetFormatPr baseColWidth="10" defaultColWidth="10.85546875" defaultRowHeight="15" x14ac:dyDescent="0.25"/>
  <cols>
    <col min="1" max="1" width="10.140625" style="9" customWidth="1"/>
    <col min="2" max="2" width="43.7109375" style="9" customWidth="1"/>
    <col min="3" max="9" width="14.7109375" style="9" customWidth="1"/>
    <col min="10" max="10" width="3.42578125" style="9" customWidth="1"/>
    <col min="11" max="13" width="14.7109375" style="36" customWidth="1"/>
    <col min="14" max="14" width="45.140625" style="50" customWidth="1"/>
    <col min="15" max="15" width="19.7109375" style="9" customWidth="1"/>
    <col min="16" max="16384" width="10.85546875" style="9"/>
  </cols>
  <sheetData>
    <row r="1" spans="1:15" ht="28.5" x14ac:dyDescent="0.25">
      <c r="A1" s="26" t="s">
        <v>43</v>
      </c>
      <c r="B1" s="4"/>
      <c r="C1" s="5"/>
      <c r="D1" s="5"/>
      <c r="F1" s="10"/>
      <c r="G1" s="10"/>
      <c r="H1" s="49"/>
      <c r="I1" s="112"/>
      <c r="J1" s="10"/>
      <c r="K1" s="32"/>
      <c r="L1" s="32"/>
      <c r="M1" s="32"/>
    </row>
    <row r="2" spans="1:15" x14ac:dyDescent="0.25">
      <c r="A2" s="1"/>
      <c r="B2" s="7"/>
      <c r="C2" s="5"/>
      <c r="D2" s="5"/>
      <c r="F2" s="10"/>
      <c r="G2" s="10"/>
      <c r="H2" s="49"/>
      <c r="I2" s="112"/>
      <c r="J2" s="10"/>
      <c r="K2" s="32"/>
      <c r="L2" s="32"/>
      <c r="M2" s="32"/>
    </row>
    <row r="3" spans="1:15" ht="18.75" x14ac:dyDescent="0.25">
      <c r="A3" s="27" t="s">
        <v>54</v>
      </c>
      <c r="B3" s="4"/>
      <c r="F3" s="10"/>
      <c r="G3" s="10"/>
      <c r="H3" s="49"/>
      <c r="I3" s="112"/>
      <c r="J3" s="10"/>
      <c r="K3" s="32"/>
      <c r="L3" s="32"/>
      <c r="M3" s="32"/>
    </row>
    <row r="4" spans="1:15" ht="46.5" customHeight="1" x14ac:dyDescent="0.25">
      <c r="A4" s="153" t="s">
        <v>233</v>
      </c>
      <c r="B4" s="153"/>
      <c r="C4" s="153"/>
      <c r="D4" s="153"/>
      <c r="E4" s="153"/>
      <c r="F4" s="153"/>
      <c r="G4" s="153"/>
      <c r="H4" s="153"/>
      <c r="I4" s="153"/>
      <c r="J4" s="153"/>
      <c r="K4" s="153"/>
      <c r="L4" s="153"/>
      <c r="M4" s="153"/>
      <c r="N4" s="153"/>
      <c r="O4" s="50"/>
    </row>
    <row r="5" spans="1:15" ht="5.25" customHeight="1" thickBot="1" x14ac:dyDescent="0.3">
      <c r="A5" s="1"/>
      <c r="B5" s="4"/>
      <c r="F5" s="10"/>
      <c r="G5" s="10"/>
      <c r="H5" s="49"/>
      <c r="I5" s="112"/>
      <c r="J5" s="10"/>
      <c r="K5" s="32"/>
      <c r="L5" s="32"/>
      <c r="M5" s="32"/>
    </row>
    <row r="6" spans="1:15" ht="16.5" thickBot="1" x14ac:dyDescent="0.3">
      <c r="A6" s="116" t="s">
        <v>37</v>
      </c>
      <c r="B6" s="117"/>
      <c r="C6" s="117"/>
      <c r="D6" s="117"/>
      <c r="E6" s="117"/>
      <c r="F6" s="121" t="s">
        <v>64</v>
      </c>
      <c r="G6" s="122"/>
      <c r="H6" s="49"/>
      <c r="I6" s="112"/>
      <c r="K6" s="33" t="s">
        <v>58</v>
      </c>
      <c r="L6" s="33"/>
      <c r="M6" s="33">
        <f>IF(F6="hebdomadaire",52,IF(F6="quincénaire",26,IF(F6="mensuel",12,IF(F6="trimestrielle (3mois)",4,IF(F6="semestre (6mois)",2,IF(F6="annuel",1,IF(F6="bimensuel (2mois)",6,1)))))))</f>
        <v>12</v>
      </c>
    </row>
    <row r="7" spans="1:15" ht="15.75" thickBot="1" x14ac:dyDescent="0.3">
      <c r="A7" s="1"/>
      <c r="B7" s="4"/>
      <c r="F7" s="10"/>
      <c r="G7" s="10"/>
      <c r="H7" s="49"/>
      <c r="I7" s="112"/>
      <c r="J7" s="10"/>
      <c r="K7" s="32"/>
      <c r="L7" s="32"/>
      <c r="M7" s="32"/>
    </row>
    <row r="8" spans="1:15" ht="18.75" x14ac:dyDescent="0.25">
      <c r="A8" s="115" t="s">
        <v>39</v>
      </c>
      <c r="B8" s="115"/>
      <c r="C8" s="115"/>
      <c r="D8" s="115"/>
      <c r="E8" s="115"/>
      <c r="F8" s="115"/>
      <c r="G8" s="115"/>
      <c r="H8" s="156" t="s">
        <v>103</v>
      </c>
      <c r="I8" s="157"/>
      <c r="J8" s="10"/>
      <c r="K8" s="34" t="s">
        <v>56</v>
      </c>
      <c r="L8" s="34" t="s">
        <v>55</v>
      </c>
      <c r="M8" s="34" t="s">
        <v>57</v>
      </c>
      <c r="N8" s="51" t="s">
        <v>100</v>
      </c>
      <c r="O8" s="43"/>
    </row>
    <row r="9" spans="1:15" ht="14.45" customHeight="1" x14ac:dyDescent="0.25">
      <c r="A9" s="6" t="s">
        <v>10</v>
      </c>
      <c r="B9" s="23" t="s">
        <v>33</v>
      </c>
      <c r="C9" s="6" t="s">
        <v>48</v>
      </c>
      <c r="D9" s="6" t="s">
        <v>3</v>
      </c>
      <c r="E9" s="6" t="s">
        <v>38</v>
      </c>
      <c r="F9" s="6" t="s">
        <v>3</v>
      </c>
      <c r="G9" s="6" t="s">
        <v>1</v>
      </c>
      <c r="H9" s="154" t="s">
        <v>107</v>
      </c>
      <c r="I9" s="155" t="s">
        <v>3</v>
      </c>
      <c r="J9" s="112"/>
      <c r="K9" s="35" t="s">
        <v>1</v>
      </c>
      <c r="L9" s="35" t="s">
        <v>1</v>
      </c>
      <c r="M9" s="35" t="s">
        <v>1</v>
      </c>
      <c r="N9" s="52"/>
    </row>
    <row r="10" spans="1:15" x14ac:dyDescent="0.25">
      <c r="A10" s="22"/>
      <c r="B10" s="22" t="s">
        <v>5</v>
      </c>
      <c r="C10" s="19"/>
      <c r="D10" s="19"/>
      <c r="E10" s="24"/>
      <c r="F10" s="24"/>
      <c r="G10" s="24"/>
      <c r="H10" s="158"/>
      <c r="I10" s="159"/>
      <c r="J10" s="10"/>
      <c r="K10" s="30"/>
      <c r="L10" s="30"/>
      <c r="M10" s="30"/>
      <c r="N10" s="53"/>
      <c r="O10" s="2"/>
    </row>
    <row r="11" spans="1:15" x14ac:dyDescent="0.25">
      <c r="A11" s="71" t="s">
        <v>18</v>
      </c>
      <c r="B11" s="9" t="s">
        <v>75</v>
      </c>
      <c r="C11" s="71">
        <v>0</v>
      </c>
      <c r="D11" s="71" t="s">
        <v>138</v>
      </c>
      <c r="E11" s="32">
        <v>1000</v>
      </c>
      <c r="F11" s="71" t="s">
        <v>69</v>
      </c>
      <c r="G11" s="32">
        <f>C11*E11</f>
        <v>0</v>
      </c>
      <c r="H11" s="160">
        <f t="shared" ref="H11:H13" si="0">G11</f>
        <v>0</v>
      </c>
      <c r="I11" s="161" t="s">
        <v>69</v>
      </c>
      <c r="J11" s="71"/>
      <c r="K11" s="32">
        <f>H11*$M$6</f>
        <v>0</v>
      </c>
      <c r="L11" s="32">
        <f>K11</f>
        <v>0</v>
      </c>
      <c r="M11" s="32">
        <f>L11</f>
        <v>0</v>
      </c>
      <c r="N11" s="50" t="s">
        <v>171</v>
      </c>
    </row>
    <row r="12" spans="1:15" x14ac:dyDescent="0.25">
      <c r="A12" s="71" t="s">
        <v>19</v>
      </c>
      <c r="B12" s="9" t="s">
        <v>131</v>
      </c>
      <c r="C12" s="71">
        <v>8</v>
      </c>
      <c r="D12" s="71" t="s">
        <v>136</v>
      </c>
      <c r="E12" s="32">
        <v>200</v>
      </c>
      <c r="F12" s="71" t="s">
        <v>69</v>
      </c>
      <c r="G12" s="32">
        <f>C12*E12</f>
        <v>1600</v>
      </c>
      <c r="H12" s="160">
        <f t="shared" si="0"/>
        <v>1600</v>
      </c>
      <c r="I12" s="161" t="s">
        <v>69</v>
      </c>
      <c r="J12" s="71"/>
      <c r="K12" s="32">
        <f>H12*$M$6</f>
        <v>19200</v>
      </c>
      <c r="L12" s="32">
        <f>K12</f>
        <v>19200</v>
      </c>
      <c r="M12" s="32">
        <f>L12</f>
        <v>19200</v>
      </c>
      <c r="N12" s="50" t="s">
        <v>169</v>
      </c>
    </row>
    <row r="13" spans="1:15" x14ac:dyDescent="0.25">
      <c r="A13" s="71" t="s">
        <v>142</v>
      </c>
      <c r="B13" s="9" t="s">
        <v>113</v>
      </c>
      <c r="C13" s="56">
        <f>1/12</f>
        <v>8.3333333333333329E-2</v>
      </c>
      <c r="D13" s="71" t="s">
        <v>139</v>
      </c>
      <c r="E13" s="32">
        <v>1500</v>
      </c>
      <c r="F13" s="71" t="s">
        <v>69</v>
      </c>
      <c r="G13" s="32">
        <f t="shared" ref="G13" si="1">C13*E13</f>
        <v>125</v>
      </c>
      <c r="H13" s="160">
        <f t="shared" si="0"/>
        <v>125</v>
      </c>
      <c r="I13" s="161" t="s">
        <v>69</v>
      </c>
      <c r="J13" s="71"/>
      <c r="K13" s="32">
        <f>G13*$M$6</f>
        <v>1500</v>
      </c>
      <c r="L13" s="32">
        <f t="shared" ref="L13:M13" si="2">K13</f>
        <v>1500</v>
      </c>
      <c r="M13" s="32">
        <f t="shared" si="2"/>
        <v>1500</v>
      </c>
      <c r="N13" s="50" t="s">
        <v>114</v>
      </c>
    </row>
    <row r="14" spans="1:15" x14ac:dyDescent="0.25">
      <c r="A14" s="10"/>
      <c r="C14" s="46"/>
      <c r="D14" s="46"/>
      <c r="E14" s="32"/>
      <c r="F14" s="46"/>
      <c r="G14" s="32"/>
      <c r="H14" s="160"/>
      <c r="I14" s="161"/>
      <c r="J14" s="10"/>
      <c r="K14" s="32"/>
      <c r="L14" s="32"/>
      <c r="M14" s="32"/>
      <c r="O14" s="29"/>
    </row>
    <row r="15" spans="1:15" x14ac:dyDescent="0.25">
      <c r="A15" s="21"/>
      <c r="B15" s="22" t="s">
        <v>6</v>
      </c>
      <c r="C15" s="19"/>
      <c r="D15" s="19"/>
      <c r="E15" s="24"/>
      <c r="F15" s="24"/>
      <c r="G15" s="65"/>
      <c r="H15" s="162"/>
      <c r="I15" s="163"/>
      <c r="J15" s="10"/>
      <c r="K15" s="30"/>
      <c r="L15" s="30"/>
      <c r="M15" s="30"/>
      <c r="N15" s="53"/>
    </row>
    <row r="16" spans="1:15" s="28" customFormat="1" x14ac:dyDescent="0.25">
      <c r="A16" s="60"/>
      <c r="B16" s="58" t="s">
        <v>101</v>
      </c>
      <c r="C16" s="59"/>
      <c r="D16" s="59"/>
      <c r="E16" s="59"/>
      <c r="F16" s="59"/>
      <c r="G16" s="59" t="s">
        <v>118</v>
      </c>
      <c r="H16" s="164" t="s">
        <v>119</v>
      </c>
      <c r="I16" s="165"/>
      <c r="J16" s="61"/>
      <c r="K16" s="62"/>
      <c r="L16" s="62"/>
      <c r="M16" s="62"/>
      <c r="N16" s="63"/>
    </row>
    <row r="17" spans="1:15" x14ac:dyDescent="0.25">
      <c r="A17" s="71" t="s">
        <v>20</v>
      </c>
      <c r="B17" s="9" t="s">
        <v>115</v>
      </c>
      <c r="C17" s="71">
        <f>3*20</f>
        <v>60</v>
      </c>
      <c r="D17" s="71" t="s">
        <v>133</v>
      </c>
      <c r="E17" s="32">
        <v>35</v>
      </c>
      <c r="F17" s="71" t="s">
        <v>69</v>
      </c>
      <c r="G17" s="32">
        <f t="shared" ref="G17:G18" si="3">C17*E17</f>
        <v>2100</v>
      </c>
      <c r="H17" s="160">
        <f>G17*52/12</f>
        <v>9100</v>
      </c>
      <c r="I17" s="161" t="s">
        <v>69</v>
      </c>
      <c r="J17" s="71"/>
      <c r="K17" s="32">
        <f>H17*$M$6</f>
        <v>109200</v>
      </c>
      <c r="L17" s="32">
        <f>K17</f>
        <v>109200</v>
      </c>
      <c r="M17" s="32">
        <f>L17</f>
        <v>109200</v>
      </c>
      <c r="N17" s="50" t="s">
        <v>176</v>
      </c>
    </row>
    <row r="18" spans="1:15" x14ac:dyDescent="0.25">
      <c r="A18" s="71" t="s">
        <v>21</v>
      </c>
      <c r="B18" s="9" t="s">
        <v>72</v>
      </c>
      <c r="C18" s="71">
        <f>3*30</f>
        <v>90</v>
      </c>
      <c r="D18" s="71" t="s">
        <v>133</v>
      </c>
      <c r="E18" s="32">
        <v>35</v>
      </c>
      <c r="F18" s="71" t="s">
        <v>69</v>
      </c>
      <c r="G18" s="32">
        <f t="shared" si="3"/>
        <v>3150</v>
      </c>
      <c r="H18" s="160">
        <f t="shared" ref="H18:H20" si="4">G18*52/12</f>
        <v>13650</v>
      </c>
      <c r="I18" s="161" t="s">
        <v>69</v>
      </c>
      <c r="J18" s="71"/>
      <c r="K18" s="32">
        <f>H18*$M$6</f>
        <v>163800</v>
      </c>
      <c r="L18" s="32">
        <f t="shared" ref="L18:M18" si="5">K18</f>
        <v>163800</v>
      </c>
      <c r="M18" s="32">
        <f t="shared" si="5"/>
        <v>163800</v>
      </c>
      <c r="N18" s="50" t="s">
        <v>176</v>
      </c>
    </row>
    <row r="19" spans="1:15" x14ac:dyDescent="0.25">
      <c r="A19" s="71" t="s">
        <v>22</v>
      </c>
      <c r="B19" s="9" t="s">
        <v>124</v>
      </c>
      <c r="C19" s="71">
        <v>3</v>
      </c>
      <c r="D19" s="71" t="s">
        <v>137</v>
      </c>
      <c r="E19" s="32">
        <v>300</v>
      </c>
      <c r="F19" s="71" t="s">
        <v>69</v>
      </c>
      <c r="G19" s="32">
        <f>C19*E19</f>
        <v>900</v>
      </c>
      <c r="H19" s="160">
        <f t="shared" si="4"/>
        <v>3900</v>
      </c>
      <c r="I19" s="161" t="s">
        <v>69</v>
      </c>
      <c r="J19" s="71"/>
      <c r="K19" s="32">
        <f>H19*$M$6</f>
        <v>46800</v>
      </c>
      <c r="L19" s="32">
        <f>K19</f>
        <v>46800</v>
      </c>
      <c r="M19" s="32">
        <f>L19</f>
        <v>46800</v>
      </c>
      <c r="N19" s="50" t="s">
        <v>125</v>
      </c>
    </row>
    <row r="20" spans="1:15" x14ac:dyDescent="0.25">
      <c r="A20" s="71" t="s">
        <v>23</v>
      </c>
      <c r="B20" s="9" t="s">
        <v>112</v>
      </c>
      <c r="C20" s="71">
        <v>1</v>
      </c>
      <c r="D20" s="71" t="s">
        <v>139</v>
      </c>
      <c r="E20" s="32">
        <v>100</v>
      </c>
      <c r="F20" s="71" t="s">
        <v>69</v>
      </c>
      <c r="G20" s="32">
        <f>C20*E20</f>
        <v>100</v>
      </c>
      <c r="H20" s="160">
        <f t="shared" si="4"/>
        <v>433.33333333333331</v>
      </c>
      <c r="I20" s="161" t="s">
        <v>69</v>
      </c>
      <c r="J20" s="71"/>
      <c r="K20" s="32">
        <f>H20*$M$6</f>
        <v>5200</v>
      </c>
      <c r="L20" s="32">
        <f>K20</f>
        <v>5200</v>
      </c>
      <c r="M20" s="32">
        <f>L20</f>
        <v>5200</v>
      </c>
    </row>
    <row r="21" spans="1:15" x14ac:dyDescent="0.25">
      <c r="A21" s="49"/>
      <c r="C21" s="49"/>
      <c r="D21" s="49"/>
      <c r="E21" s="32"/>
      <c r="F21" s="49"/>
      <c r="G21" s="32"/>
      <c r="H21" s="160"/>
      <c r="I21" s="161"/>
      <c r="J21" s="49"/>
      <c r="K21" s="32"/>
      <c r="L21" s="32"/>
      <c r="M21" s="32"/>
      <c r="O21" s="2"/>
    </row>
    <row r="22" spans="1:15" s="28" customFormat="1" x14ac:dyDescent="0.25">
      <c r="A22" s="60"/>
      <c r="B22" s="58" t="s">
        <v>102</v>
      </c>
      <c r="C22" s="59"/>
      <c r="D22" s="59"/>
      <c r="E22" s="59"/>
      <c r="F22" s="59"/>
      <c r="G22" s="59" t="s">
        <v>103</v>
      </c>
      <c r="H22" s="164" t="s">
        <v>103</v>
      </c>
      <c r="I22" s="165"/>
      <c r="J22" s="61"/>
      <c r="K22" s="62"/>
      <c r="L22" s="62"/>
      <c r="M22" s="62"/>
      <c r="N22" s="63"/>
    </row>
    <row r="23" spans="1:15" x14ac:dyDescent="0.25">
      <c r="A23" s="49" t="s">
        <v>24</v>
      </c>
      <c r="B23" s="9" t="s">
        <v>76</v>
      </c>
      <c r="C23" s="49">
        <v>10</v>
      </c>
      <c r="D23" s="49" t="s">
        <v>143</v>
      </c>
      <c r="E23" s="32">
        <v>1200</v>
      </c>
      <c r="F23" s="49" t="s">
        <v>69</v>
      </c>
      <c r="G23" s="32">
        <f>C23*E23</f>
        <v>12000</v>
      </c>
      <c r="H23" s="160">
        <f>G23</f>
        <v>12000</v>
      </c>
      <c r="I23" s="161" t="s">
        <v>69</v>
      </c>
      <c r="J23" s="49"/>
      <c r="K23" s="32">
        <f t="shared" ref="K23:K43" si="6">H23*$M$6</f>
        <v>144000</v>
      </c>
      <c r="L23" s="32">
        <f>K23</f>
        <v>144000</v>
      </c>
      <c r="M23" s="32">
        <f>L23</f>
        <v>144000</v>
      </c>
    </row>
    <row r="24" spans="1:15" x14ac:dyDescent="0.25">
      <c r="A24" s="71" t="s">
        <v>29</v>
      </c>
      <c r="B24" s="9" t="s">
        <v>77</v>
      </c>
      <c r="C24" s="49">
        <v>10</v>
      </c>
      <c r="D24" s="49" t="s">
        <v>78</v>
      </c>
      <c r="E24" s="64">
        <v>950</v>
      </c>
      <c r="F24" s="49" t="s">
        <v>69</v>
      </c>
      <c r="G24" s="32">
        <f>C24*E24</f>
        <v>9500</v>
      </c>
      <c r="H24" s="160">
        <f t="shared" ref="H24:H43" si="7">G24</f>
        <v>9500</v>
      </c>
      <c r="I24" s="161" t="s">
        <v>69</v>
      </c>
      <c r="J24" s="49"/>
      <c r="K24" s="32">
        <f t="shared" si="6"/>
        <v>114000</v>
      </c>
      <c r="L24" s="32">
        <f t="shared" ref="L24:L27" si="8">K24</f>
        <v>114000</v>
      </c>
      <c r="M24" s="32">
        <f t="shared" ref="M24:M27" si="9">L24</f>
        <v>114000</v>
      </c>
    </row>
    <row r="25" spans="1:15" x14ac:dyDescent="0.25">
      <c r="A25" s="71" t="s">
        <v>30</v>
      </c>
      <c r="B25" s="9" t="s">
        <v>150</v>
      </c>
      <c r="C25" s="71">
        <v>10</v>
      </c>
      <c r="D25" s="71" t="s">
        <v>144</v>
      </c>
      <c r="E25" s="64">
        <v>350</v>
      </c>
      <c r="F25" s="71" t="s">
        <v>69</v>
      </c>
      <c r="G25" s="32">
        <f>C25*E25</f>
        <v>3500</v>
      </c>
      <c r="H25" s="160">
        <f t="shared" si="7"/>
        <v>3500</v>
      </c>
      <c r="I25" s="161" t="s">
        <v>69</v>
      </c>
      <c r="J25" s="71"/>
      <c r="K25" s="32">
        <f t="shared" si="6"/>
        <v>42000</v>
      </c>
      <c r="L25" s="32">
        <f t="shared" si="8"/>
        <v>42000</v>
      </c>
      <c r="M25" s="32">
        <f t="shared" si="9"/>
        <v>42000</v>
      </c>
    </row>
    <row r="26" spans="1:15" x14ac:dyDescent="0.25">
      <c r="A26" s="71" t="s">
        <v>31</v>
      </c>
      <c r="B26" s="9" t="s">
        <v>98</v>
      </c>
      <c r="C26" s="71">
        <v>10</v>
      </c>
      <c r="D26" s="71" t="s">
        <v>143</v>
      </c>
      <c r="E26" s="64">
        <v>1400</v>
      </c>
      <c r="F26" s="71" t="s">
        <v>69</v>
      </c>
      <c r="G26" s="32">
        <f t="shared" ref="G26:G27" si="10">C26*E26</f>
        <v>14000</v>
      </c>
      <c r="H26" s="160">
        <f t="shared" si="7"/>
        <v>14000</v>
      </c>
      <c r="I26" s="161" t="s">
        <v>69</v>
      </c>
      <c r="J26" s="71"/>
      <c r="K26" s="32">
        <f t="shared" si="6"/>
        <v>168000</v>
      </c>
      <c r="L26" s="32">
        <f t="shared" si="8"/>
        <v>168000</v>
      </c>
      <c r="M26" s="32">
        <f t="shared" si="9"/>
        <v>168000</v>
      </c>
    </row>
    <row r="27" spans="1:15" x14ac:dyDescent="0.25">
      <c r="A27" s="71" t="s">
        <v>81</v>
      </c>
      <c r="B27" s="9" t="s">
        <v>99</v>
      </c>
      <c r="C27" s="71">
        <v>20</v>
      </c>
      <c r="D27" s="71" t="s">
        <v>143</v>
      </c>
      <c r="E27" s="64">
        <v>650</v>
      </c>
      <c r="F27" s="71" t="s">
        <v>69</v>
      </c>
      <c r="G27" s="32">
        <f t="shared" si="10"/>
        <v>13000</v>
      </c>
      <c r="H27" s="160">
        <f t="shared" si="7"/>
        <v>13000</v>
      </c>
      <c r="I27" s="161" t="s">
        <v>69</v>
      </c>
      <c r="J27" s="71"/>
      <c r="K27" s="32">
        <f t="shared" si="6"/>
        <v>156000</v>
      </c>
      <c r="L27" s="32">
        <f t="shared" si="8"/>
        <v>156000</v>
      </c>
      <c r="M27" s="32">
        <f t="shared" si="9"/>
        <v>156000</v>
      </c>
    </row>
    <row r="28" spans="1:15" x14ac:dyDescent="0.25">
      <c r="A28" s="71" t="s">
        <v>83</v>
      </c>
      <c r="B28" s="9" t="s">
        <v>129</v>
      </c>
      <c r="C28" s="71">
        <v>3</v>
      </c>
      <c r="D28" s="71" t="s">
        <v>145</v>
      </c>
      <c r="E28" s="64">
        <f>150*25</f>
        <v>3750</v>
      </c>
      <c r="F28" s="71" t="s">
        <v>69</v>
      </c>
      <c r="G28" s="32">
        <f>C28*E28</f>
        <v>11250</v>
      </c>
      <c r="H28" s="160">
        <f>G28</f>
        <v>11250</v>
      </c>
      <c r="I28" s="161" t="s">
        <v>69</v>
      </c>
      <c r="J28" s="71"/>
      <c r="K28" s="32">
        <f t="shared" si="6"/>
        <v>135000</v>
      </c>
      <c r="L28" s="32">
        <f>K28</f>
        <v>135000</v>
      </c>
      <c r="M28" s="32">
        <f>L28</f>
        <v>135000</v>
      </c>
    </row>
    <row r="29" spans="1:15" x14ac:dyDescent="0.25">
      <c r="A29" s="71" t="s">
        <v>86</v>
      </c>
      <c r="B29" s="9" t="s">
        <v>149</v>
      </c>
      <c r="C29" s="71">
        <v>5</v>
      </c>
      <c r="D29" s="71" t="s">
        <v>146</v>
      </c>
      <c r="E29" s="64">
        <v>1000</v>
      </c>
      <c r="F29" s="71" t="s">
        <v>69</v>
      </c>
      <c r="G29" s="32">
        <f>C29*E29</f>
        <v>5000</v>
      </c>
      <c r="H29" s="160">
        <f t="shared" ref="H29:H32" si="11">G29</f>
        <v>5000</v>
      </c>
      <c r="I29" s="161" t="s">
        <v>69</v>
      </c>
      <c r="J29" s="71"/>
      <c r="K29" s="32">
        <f t="shared" si="6"/>
        <v>60000</v>
      </c>
      <c r="L29" s="32">
        <f t="shared" ref="L29:L32" si="12">K29</f>
        <v>60000</v>
      </c>
      <c r="M29" s="32">
        <f t="shared" ref="M29:M32" si="13">L29</f>
        <v>60000</v>
      </c>
    </row>
    <row r="30" spans="1:15" x14ac:dyDescent="0.25">
      <c r="A30" s="71" t="s">
        <v>87</v>
      </c>
      <c r="B30" s="9" t="s">
        <v>127</v>
      </c>
      <c r="C30" s="71">
        <v>10</v>
      </c>
      <c r="D30" s="71" t="s">
        <v>133</v>
      </c>
      <c r="E30" s="64">
        <f>240</f>
        <v>240</v>
      </c>
      <c r="F30" s="71" t="s">
        <v>69</v>
      </c>
      <c r="G30" s="32">
        <f>C30*E30</f>
        <v>2400</v>
      </c>
      <c r="H30" s="160">
        <f t="shared" ref="H30" si="14">G30</f>
        <v>2400</v>
      </c>
      <c r="I30" s="161" t="s">
        <v>69</v>
      </c>
      <c r="J30" s="71"/>
      <c r="K30" s="32">
        <f t="shared" si="6"/>
        <v>28800</v>
      </c>
      <c r="L30" s="32">
        <f t="shared" ref="L30" si="15">K30</f>
        <v>28800</v>
      </c>
      <c r="M30" s="32">
        <f t="shared" ref="M30" si="16">L30</f>
        <v>28800</v>
      </c>
    </row>
    <row r="31" spans="1:15" x14ac:dyDescent="0.25">
      <c r="A31" s="71" t="s">
        <v>88</v>
      </c>
      <c r="B31" s="9" t="s">
        <v>128</v>
      </c>
      <c r="C31" s="71">
        <v>5</v>
      </c>
      <c r="D31" s="71" t="s">
        <v>147</v>
      </c>
      <c r="E31" s="64">
        <v>250</v>
      </c>
      <c r="F31" s="71" t="s">
        <v>69</v>
      </c>
      <c r="G31" s="32">
        <f>C31*E31</f>
        <v>1250</v>
      </c>
      <c r="H31" s="160">
        <f t="shared" si="11"/>
        <v>1250</v>
      </c>
      <c r="I31" s="161" t="s">
        <v>69</v>
      </c>
      <c r="J31" s="71"/>
      <c r="K31" s="32">
        <f t="shared" si="6"/>
        <v>15000</v>
      </c>
      <c r="L31" s="32">
        <f t="shared" si="12"/>
        <v>15000</v>
      </c>
      <c r="M31" s="32">
        <f t="shared" si="13"/>
        <v>15000</v>
      </c>
    </row>
    <row r="32" spans="1:15" x14ac:dyDescent="0.25">
      <c r="A32" s="71" t="s">
        <v>89</v>
      </c>
      <c r="B32" s="9" t="s">
        <v>130</v>
      </c>
      <c r="C32" s="71">
        <v>5</v>
      </c>
      <c r="D32" s="71" t="s">
        <v>148</v>
      </c>
      <c r="E32" s="64">
        <v>240</v>
      </c>
      <c r="F32" s="71" t="s">
        <v>69</v>
      </c>
      <c r="G32" s="32">
        <f>C32*E32</f>
        <v>1200</v>
      </c>
      <c r="H32" s="160">
        <f t="shared" si="11"/>
        <v>1200</v>
      </c>
      <c r="I32" s="161" t="s">
        <v>69</v>
      </c>
      <c r="J32" s="71"/>
      <c r="K32" s="32">
        <f t="shared" si="6"/>
        <v>14400</v>
      </c>
      <c r="L32" s="32">
        <f t="shared" si="12"/>
        <v>14400</v>
      </c>
      <c r="M32" s="32">
        <f t="shared" si="13"/>
        <v>14400</v>
      </c>
    </row>
    <row r="33" spans="1:17" x14ac:dyDescent="0.25">
      <c r="A33" s="71" t="s">
        <v>90</v>
      </c>
      <c r="B33" s="9" t="s">
        <v>151</v>
      </c>
      <c r="C33" s="71">
        <v>1</v>
      </c>
      <c r="D33" s="71" t="s">
        <v>139</v>
      </c>
      <c r="E33" s="64">
        <f>(C23+C26+C27)*50+(C24+C28+2)*30</f>
        <v>2450</v>
      </c>
      <c r="F33" s="71" t="s">
        <v>69</v>
      </c>
      <c r="G33" s="32">
        <f t="shared" ref="G33:G34" si="17">C33*E33</f>
        <v>2450</v>
      </c>
      <c r="H33" s="160">
        <f t="shared" ref="H33:H34" si="18">G33</f>
        <v>2450</v>
      </c>
      <c r="I33" s="161" t="s">
        <v>69</v>
      </c>
      <c r="J33" s="71"/>
      <c r="K33" s="32">
        <f t="shared" si="6"/>
        <v>29400</v>
      </c>
      <c r="L33" s="32">
        <f t="shared" ref="L33:L34" si="19">K33</f>
        <v>29400</v>
      </c>
      <c r="M33" s="32">
        <f t="shared" ref="M33:M34" si="20">L33</f>
        <v>29400</v>
      </c>
      <c r="N33" s="50" t="s">
        <v>152</v>
      </c>
    </row>
    <row r="34" spans="1:17" x14ac:dyDescent="0.25">
      <c r="A34" s="71" t="s">
        <v>91</v>
      </c>
      <c r="B34" s="9" t="s">
        <v>112</v>
      </c>
      <c r="C34" s="71">
        <v>1</v>
      </c>
      <c r="D34" s="71" t="s">
        <v>139</v>
      </c>
      <c r="E34" s="64">
        <f>ROUNDUP(SUM(C57:C67)/2,-1)</f>
        <v>1230</v>
      </c>
      <c r="F34" s="71" t="s">
        <v>69</v>
      </c>
      <c r="G34" s="32">
        <f t="shared" si="17"/>
        <v>1230</v>
      </c>
      <c r="H34" s="160">
        <f t="shared" si="18"/>
        <v>1230</v>
      </c>
      <c r="I34" s="161" t="s">
        <v>69</v>
      </c>
      <c r="J34" s="71"/>
      <c r="K34" s="32">
        <f t="shared" si="6"/>
        <v>14760</v>
      </c>
      <c r="L34" s="32">
        <f t="shared" si="19"/>
        <v>14760</v>
      </c>
      <c r="M34" s="32">
        <f t="shared" si="20"/>
        <v>14760</v>
      </c>
    </row>
    <row r="35" spans="1:17" x14ac:dyDescent="0.25">
      <c r="A35" s="71" t="s">
        <v>92</v>
      </c>
      <c r="B35" s="9" t="s">
        <v>120</v>
      </c>
      <c r="C35" s="71">
        <v>20</v>
      </c>
      <c r="D35" s="71" t="s">
        <v>143</v>
      </c>
      <c r="E35" s="64">
        <v>150</v>
      </c>
      <c r="F35" s="71" t="s">
        <v>69</v>
      </c>
      <c r="G35" s="32">
        <f>C35*E35</f>
        <v>3000</v>
      </c>
      <c r="H35" s="160">
        <f t="shared" ref="H35" si="21">G35</f>
        <v>3000</v>
      </c>
      <c r="I35" s="161" t="s">
        <v>69</v>
      </c>
      <c r="J35" s="71"/>
      <c r="K35" s="32">
        <f t="shared" si="6"/>
        <v>36000</v>
      </c>
      <c r="L35" s="32">
        <f t="shared" ref="L35" si="22">K35</f>
        <v>36000</v>
      </c>
      <c r="M35" s="32">
        <f t="shared" ref="M35" si="23">L35</f>
        <v>36000</v>
      </c>
      <c r="N35" s="9" t="s">
        <v>153</v>
      </c>
    </row>
    <row r="36" spans="1:17" x14ac:dyDescent="0.25">
      <c r="A36" s="71" t="s">
        <v>93</v>
      </c>
      <c r="B36" s="9" t="s">
        <v>235</v>
      </c>
      <c r="C36" s="71">
        <v>30</v>
      </c>
      <c r="D36" s="71" t="s">
        <v>141</v>
      </c>
      <c r="E36" s="64">
        <v>130</v>
      </c>
      <c r="F36" s="71" t="s">
        <v>69</v>
      </c>
      <c r="G36" s="32">
        <f t="shared" ref="G36:G40" si="24">C36*E36</f>
        <v>3900</v>
      </c>
      <c r="H36" s="160">
        <f t="shared" si="7"/>
        <v>3900</v>
      </c>
      <c r="I36" s="161" t="s">
        <v>69</v>
      </c>
      <c r="J36" s="71"/>
      <c r="K36" s="32">
        <f t="shared" si="6"/>
        <v>46800</v>
      </c>
      <c r="L36" s="32">
        <f t="shared" ref="L36:M40" si="25">K36</f>
        <v>46800</v>
      </c>
      <c r="M36" s="32">
        <f t="shared" si="25"/>
        <v>46800</v>
      </c>
    </row>
    <row r="37" spans="1:17" x14ac:dyDescent="0.25">
      <c r="A37" s="71" t="s">
        <v>94</v>
      </c>
      <c r="B37" s="9" t="s">
        <v>236</v>
      </c>
      <c r="C37" s="71">
        <v>24</v>
      </c>
      <c r="D37" s="71" t="s">
        <v>141</v>
      </c>
      <c r="E37" s="64">
        <v>200</v>
      </c>
      <c r="F37" s="71" t="s">
        <v>69</v>
      </c>
      <c r="G37" s="32">
        <f t="shared" ref="G37" si="26">C37*E37</f>
        <v>4800</v>
      </c>
      <c r="H37" s="160">
        <f t="shared" ref="H37" si="27">G37</f>
        <v>4800</v>
      </c>
      <c r="I37" s="161" t="s">
        <v>69</v>
      </c>
      <c r="J37" s="71"/>
      <c r="K37" s="32">
        <f t="shared" si="6"/>
        <v>57600</v>
      </c>
      <c r="L37" s="32">
        <f t="shared" ref="L37" si="28">K37</f>
        <v>57600</v>
      </c>
      <c r="M37" s="32">
        <f t="shared" ref="M37" si="29">L37</f>
        <v>57600</v>
      </c>
    </row>
    <row r="38" spans="1:17" x14ac:dyDescent="0.25">
      <c r="A38" s="71" t="s">
        <v>111</v>
      </c>
      <c r="B38" s="9" t="s">
        <v>237</v>
      </c>
      <c r="C38" s="71">
        <v>24</v>
      </c>
      <c r="D38" s="71" t="s">
        <v>141</v>
      </c>
      <c r="E38" s="64">
        <v>150</v>
      </c>
      <c r="F38" s="71" t="s">
        <v>69</v>
      </c>
      <c r="G38" s="32">
        <f t="shared" si="24"/>
        <v>3600</v>
      </c>
      <c r="H38" s="160">
        <f t="shared" si="7"/>
        <v>3600</v>
      </c>
      <c r="I38" s="161" t="s">
        <v>69</v>
      </c>
      <c r="J38" s="71"/>
      <c r="K38" s="32">
        <f t="shared" si="6"/>
        <v>43200</v>
      </c>
      <c r="L38" s="32">
        <f t="shared" si="25"/>
        <v>43200</v>
      </c>
      <c r="M38" s="32">
        <f t="shared" si="25"/>
        <v>43200</v>
      </c>
    </row>
    <row r="39" spans="1:17" x14ac:dyDescent="0.25">
      <c r="A39" s="71" t="s">
        <v>159</v>
      </c>
      <c r="B39" s="9" t="s">
        <v>238</v>
      </c>
      <c r="C39" s="71">
        <v>12</v>
      </c>
      <c r="D39" s="71" t="s">
        <v>141</v>
      </c>
      <c r="E39" s="64">
        <v>50</v>
      </c>
      <c r="F39" s="71" t="s">
        <v>69</v>
      </c>
      <c r="G39" s="32">
        <f t="shared" ref="G39" si="30">C39*E39</f>
        <v>600</v>
      </c>
      <c r="H39" s="160">
        <f t="shared" ref="H39" si="31">G39</f>
        <v>600</v>
      </c>
      <c r="I39" s="161" t="s">
        <v>69</v>
      </c>
      <c r="J39" s="71"/>
      <c r="K39" s="32">
        <f t="shared" si="6"/>
        <v>7200</v>
      </c>
      <c r="L39" s="32">
        <f t="shared" ref="L39" si="32">K39</f>
        <v>7200</v>
      </c>
      <c r="M39" s="32">
        <f t="shared" ref="M39" si="33">L39</f>
        <v>7200</v>
      </c>
    </row>
    <row r="40" spans="1:17" x14ac:dyDescent="0.25">
      <c r="A40" s="71" t="s">
        <v>160</v>
      </c>
      <c r="B40" s="9" t="s">
        <v>239</v>
      </c>
      <c r="C40" s="71">
        <v>12</v>
      </c>
      <c r="D40" s="71" t="s">
        <v>141</v>
      </c>
      <c r="E40" s="64">
        <v>70</v>
      </c>
      <c r="F40" s="71" t="s">
        <v>69</v>
      </c>
      <c r="G40" s="32">
        <f t="shared" si="24"/>
        <v>840</v>
      </c>
      <c r="H40" s="160">
        <f t="shared" si="7"/>
        <v>840</v>
      </c>
      <c r="I40" s="161" t="s">
        <v>69</v>
      </c>
      <c r="J40" s="71"/>
      <c r="K40" s="32">
        <f t="shared" si="6"/>
        <v>10080</v>
      </c>
      <c r="L40" s="32">
        <f t="shared" si="25"/>
        <v>10080</v>
      </c>
      <c r="M40" s="32">
        <f t="shared" si="25"/>
        <v>10080</v>
      </c>
    </row>
    <row r="41" spans="1:17" x14ac:dyDescent="0.25">
      <c r="A41" s="71" t="s">
        <v>161</v>
      </c>
      <c r="B41" s="9" t="s">
        <v>240</v>
      </c>
      <c r="C41" s="71">
        <v>1</v>
      </c>
      <c r="D41" s="71" t="s">
        <v>137</v>
      </c>
      <c r="E41" s="64">
        <v>400</v>
      </c>
      <c r="F41" s="71" t="s">
        <v>69</v>
      </c>
      <c r="G41" s="32">
        <f t="shared" ref="G41:G43" si="34">C41*E41</f>
        <v>400</v>
      </c>
      <c r="H41" s="160">
        <f t="shared" si="7"/>
        <v>400</v>
      </c>
      <c r="I41" s="161" t="s">
        <v>69</v>
      </c>
      <c r="J41" s="71"/>
      <c r="K41" s="32">
        <f t="shared" si="6"/>
        <v>4800</v>
      </c>
      <c r="L41" s="32">
        <f t="shared" ref="L41:L43" si="35">K41</f>
        <v>4800</v>
      </c>
      <c r="M41" s="32">
        <f t="shared" ref="M41:M43" si="36">L41</f>
        <v>4800</v>
      </c>
    </row>
    <row r="42" spans="1:17" x14ac:dyDescent="0.25">
      <c r="A42" s="71" t="s">
        <v>162</v>
      </c>
      <c r="B42" s="9" t="s">
        <v>112</v>
      </c>
      <c r="C42" s="71">
        <v>1</v>
      </c>
      <c r="D42" s="71" t="s">
        <v>139</v>
      </c>
      <c r="E42" s="64">
        <f>ROUNDUP(SUM(C36:C41)/2,-1)</f>
        <v>60</v>
      </c>
      <c r="F42" s="71" t="s">
        <v>69</v>
      </c>
      <c r="G42" s="32">
        <f t="shared" ref="G42" si="37">C42*E42</f>
        <v>60</v>
      </c>
      <c r="H42" s="160">
        <f t="shared" ref="H42" si="38">G42</f>
        <v>60</v>
      </c>
      <c r="I42" s="161" t="s">
        <v>69</v>
      </c>
      <c r="J42" s="71"/>
      <c r="K42" s="32">
        <f t="shared" si="6"/>
        <v>720</v>
      </c>
      <c r="L42" s="32">
        <f t="shared" ref="L42" si="39">K42</f>
        <v>720</v>
      </c>
      <c r="M42" s="32">
        <f t="shared" ref="M42" si="40">L42</f>
        <v>720</v>
      </c>
    </row>
    <row r="43" spans="1:17" x14ac:dyDescent="0.25">
      <c r="A43" s="71" t="s">
        <v>163</v>
      </c>
      <c r="B43" s="9" t="s">
        <v>154</v>
      </c>
      <c r="C43" s="71">
        <v>1</v>
      </c>
      <c r="D43" s="71" t="s">
        <v>139</v>
      </c>
      <c r="E43" s="64">
        <v>950</v>
      </c>
      <c r="F43" s="71" t="s">
        <v>69</v>
      </c>
      <c r="G43" s="32">
        <f t="shared" si="34"/>
        <v>950</v>
      </c>
      <c r="H43" s="160">
        <f t="shared" si="7"/>
        <v>950</v>
      </c>
      <c r="I43" s="161" t="s">
        <v>69</v>
      </c>
      <c r="J43" s="71"/>
      <c r="K43" s="32">
        <f t="shared" si="6"/>
        <v>11400</v>
      </c>
      <c r="L43" s="32">
        <f t="shared" si="35"/>
        <v>11400</v>
      </c>
      <c r="M43" s="32">
        <f t="shared" si="36"/>
        <v>11400</v>
      </c>
    </row>
    <row r="44" spans="1:17" x14ac:dyDescent="0.25">
      <c r="A44" s="112"/>
      <c r="C44" s="112"/>
      <c r="D44" s="112"/>
      <c r="E44" s="32"/>
      <c r="F44" s="112"/>
      <c r="G44" s="32"/>
      <c r="H44" s="160"/>
      <c r="I44" s="161"/>
      <c r="J44" s="112"/>
      <c r="K44" s="32"/>
      <c r="L44" s="32"/>
      <c r="M44" s="32"/>
    </row>
    <row r="45" spans="1:17" x14ac:dyDescent="0.25">
      <c r="A45" s="21"/>
      <c r="B45" s="139" t="s">
        <v>210</v>
      </c>
      <c r="C45" s="19"/>
      <c r="D45" s="19"/>
      <c r="E45" s="24"/>
      <c r="F45" s="24"/>
      <c r="G45" s="24"/>
      <c r="H45" s="158"/>
      <c r="I45" s="159"/>
      <c r="J45" s="80"/>
      <c r="K45" s="30"/>
      <c r="L45" s="30"/>
      <c r="M45" s="30"/>
      <c r="N45" s="30"/>
      <c r="O45" s="2"/>
      <c r="P45" s="2"/>
    </row>
    <row r="46" spans="1:17" s="144" customFormat="1" x14ac:dyDescent="0.25">
      <c r="A46" s="180" t="s">
        <v>18</v>
      </c>
      <c r="B46" s="181" t="s">
        <v>211</v>
      </c>
      <c r="C46" s="182">
        <f>1/6</f>
        <v>0.16666666666666666</v>
      </c>
      <c r="D46" s="180" t="s">
        <v>139</v>
      </c>
      <c r="E46" s="183">
        <v>1500</v>
      </c>
      <c r="F46" s="180" t="s">
        <v>69</v>
      </c>
      <c r="G46" s="183">
        <f t="shared" ref="G46" si="41">C46*E46</f>
        <v>250</v>
      </c>
      <c r="H46" s="184"/>
      <c r="I46" s="185" t="s">
        <v>69</v>
      </c>
      <c r="J46" s="80"/>
      <c r="K46" s="183"/>
      <c r="L46" s="183">
        <f>G46*$M$6</f>
        <v>3000</v>
      </c>
      <c r="M46" s="183">
        <f>L46</f>
        <v>3000</v>
      </c>
      <c r="N46" s="186" t="s">
        <v>212</v>
      </c>
      <c r="O46" s="2"/>
      <c r="Q46" s="187"/>
    </row>
    <row r="47" spans="1:17" x14ac:dyDescent="0.25">
      <c r="A47" s="10"/>
      <c r="C47" s="10"/>
      <c r="D47" s="10"/>
      <c r="E47" s="32"/>
      <c r="F47" s="10"/>
      <c r="G47" s="32"/>
      <c r="H47" s="160"/>
      <c r="I47" s="161"/>
      <c r="J47" s="10"/>
      <c r="K47" s="32"/>
      <c r="L47" s="32"/>
      <c r="M47" s="32"/>
    </row>
    <row r="48" spans="1:17" s="7" customFormat="1" x14ac:dyDescent="0.25">
      <c r="A48" s="25" t="s">
        <v>7</v>
      </c>
      <c r="B48" s="114" t="s">
        <v>0</v>
      </c>
      <c r="C48" s="114"/>
      <c r="D48" s="114"/>
      <c r="E48" s="114"/>
      <c r="F48" s="114"/>
      <c r="G48" s="31"/>
      <c r="H48" s="166">
        <f>SUM(H10:H47)</f>
        <v>123738.33333333333</v>
      </c>
      <c r="I48" s="167" t="s">
        <v>69</v>
      </c>
      <c r="J48" s="8"/>
      <c r="K48" s="31">
        <f>SUM(K10:K47)</f>
        <v>1484860</v>
      </c>
      <c r="L48" s="31">
        <f>SUM(L10:L47)</f>
        <v>1487860</v>
      </c>
      <c r="M48" s="31">
        <f>SUM(M10:M47)</f>
        <v>1487860</v>
      </c>
      <c r="N48" s="54"/>
    </row>
    <row r="49" spans="1:14" ht="24" customHeight="1" x14ac:dyDescent="0.25">
      <c r="G49" s="43"/>
      <c r="H49" s="168"/>
      <c r="I49" s="169"/>
      <c r="J49" s="10"/>
      <c r="K49" s="113"/>
    </row>
    <row r="50" spans="1:14" ht="18.75" x14ac:dyDescent="0.25">
      <c r="A50" s="115" t="s">
        <v>40</v>
      </c>
      <c r="B50" s="115"/>
      <c r="C50" s="115"/>
      <c r="D50" s="115"/>
      <c r="E50" s="115"/>
      <c r="F50" s="115"/>
      <c r="G50" s="115"/>
      <c r="H50" s="170"/>
      <c r="I50" s="171"/>
      <c r="J50" s="10"/>
      <c r="K50" s="34" t="s">
        <v>56</v>
      </c>
      <c r="L50" s="34" t="s">
        <v>55</v>
      </c>
      <c r="M50" s="34" t="s">
        <v>57</v>
      </c>
      <c r="N50" s="51"/>
    </row>
    <row r="51" spans="1:14" x14ac:dyDescent="0.25">
      <c r="A51" s="6" t="s">
        <v>11</v>
      </c>
      <c r="B51" s="6" t="s">
        <v>41</v>
      </c>
      <c r="C51" s="6" t="s">
        <v>48</v>
      </c>
      <c r="D51" s="6" t="s">
        <v>140</v>
      </c>
      <c r="E51" s="6" t="s">
        <v>42</v>
      </c>
      <c r="F51" s="6" t="s">
        <v>3</v>
      </c>
      <c r="G51" s="6" t="s">
        <v>1</v>
      </c>
      <c r="H51" s="154" t="s">
        <v>107</v>
      </c>
      <c r="I51" s="155" t="s">
        <v>3</v>
      </c>
      <c r="J51" s="10"/>
      <c r="K51" s="35" t="s">
        <v>1</v>
      </c>
      <c r="L51" s="35" t="s">
        <v>1</v>
      </c>
      <c r="M51" s="35" t="s">
        <v>1</v>
      </c>
      <c r="N51" s="52"/>
    </row>
    <row r="52" spans="1:14" s="28" customFormat="1" x14ac:dyDescent="0.25">
      <c r="A52" s="60"/>
      <c r="B52" s="58" t="s">
        <v>105</v>
      </c>
      <c r="C52" s="59"/>
      <c r="D52" s="59"/>
      <c r="E52" s="59"/>
      <c r="F52" s="59"/>
      <c r="G52" s="59" t="s">
        <v>104</v>
      </c>
      <c r="H52" s="164" t="s">
        <v>103</v>
      </c>
      <c r="I52" s="165"/>
      <c r="J52" s="61"/>
      <c r="K52" s="62"/>
      <c r="L52" s="62"/>
      <c r="M52" s="62"/>
      <c r="N52" s="63"/>
    </row>
    <row r="53" spans="1:14" x14ac:dyDescent="0.25">
      <c r="A53" s="71" t="s">
        <v>25</v>
      </c>
      <c r="B53" s="9" t="s">
        <v>71</v>
      </c>
      <c r="C53" s="71">
        <f>C17</f>
        <v>60</v>
      </c>
      <c r="D53" s="71" t="str">
        <f>D17</f>
        <v>kg</v>
      </c>
      <c r="E53" s="32">
        <v>60</v>
      </c>
      <c r="F53" s="71" t="s">
        <v>69</v>
      </c>
      <c r="G53" s="32">
        <f t="shared" ref="G53:G54" si="42">C53*E53</f>
        <v>3600</v>
      </c>
      <c r="H53" s="160">
        <f>G53*52/12</f>
        <v>15600</v>
      </c>
      <c r="I53" s="161" t="s">
        <v>69</v>
      </c>
      <c r="J53" s="71"/>
      <c r="K53" s="32">
        <f>H53*$M$6</f>
        <v>187200</v>
      </c>
      <c r="L53" s="32">
        <f t="shared" ref="L53:M53" si="43">K53</f>
        <v>187200</v>
      </c>
      <c r="M53" s="32">
        <f t="shared" si="43"/>
        <v>187200</v>
      </c>
    </row>
    <row r="54" spans="1:14" x14ac:dyDescent="0.25">
      <c r="A54" s="71" t="s">
        <v>26</v>
      </c>
      <c r="B54" s="9" t="s">
        <v>72</v>
      </c>
      <c r="C54" s="71">
        <f>C18</f>
        <v>90</v>
      </c>
      <c r="D54" s="71" t="str">
        <f>D18</f>
        <v>kg</v>
      </c>
      <c r="E54" s="32">
        <v>55</v>
      </c>
      <c r="F54" s="71" t="s">
        <v>69</v>
      </c>
      <c r="G54" s="32">
        <f t="shared" si="42"/>
        <v>4950</v>
      </c>
      <c r="H54" s="160">
        <f t="shared" ref="H54" si="44">G54*52/12</f>
        <v>21450</v>
      </c>
      <c r="I54" s="161" t="s">
        <v>69</v>
      </c>
      <c r="J54" s="71"/>
      <c r="K54" s="32">
        <f>H54*$M$6</f>
        <v>257400</v>
      </c>
      <c r="L54" s="32">
        <f t="shared" ref="L54:M54" si="45">K54</f>
        <v>257400</v>
      </c>
      <c r="M54" s="32">
        <f t="shared" si="45"/>
        <v>257400</v>
      </c>
    </row>
    <row r="55" spans="1:14" s="11" customFormat="1" x14ac:dyDescent="0.25">
      <c r="A55" s="49"/>
      <c r="B55" s="9"/>
      <c r="C55" s="57"/>
      <c r="D55" s="49"/>
      <c r="E55" s="32"/>
      <c r="F55" s="49"/>
      <c r="G55" s="32"/>
      <c r="H55" s="160"/>
      <c r="I55" s="161"/>
      <c r="J55" s="49"/>
      <c r="K55" s="32"/>
      <c r="L55" s="32"/>
      <c r="M55" s="32"/>
      <c r="N55" s="50"/>
    </row>
    <row r="56" spans="1:14" s="28" customFormat="1" x14ac:dyDescent="0.25">
      <c r="A56" s="60"/>
      <c r="B56" s="58" t="s">
        <v>106</v>
      </c>
      <c r="C56" s="59"/>
      <c r="D56" s="59"/>
      <c r="E56" s="59"/>
      <c r="F56" s="59"/>
      <c r="G56" s="59" t="s">
        <v>103</v>
      </c>
      <c r="H56" s="164" t="s">
        <v>103</v>
      </c>
      <c r="I56" s="165"/>
      <c r="J56" s="61"/>
      <c r="K56" s="62"/>
      <c r="L56" s="62"/>
      <c r="M56" s="62"/>
      <c r="N56" s="63"/>
    </row>
    <row r="57" spans="1:14" x14ac:dyDescent="0.25">
      <c r="A57" s="71" t="s">
        <v>27</v>
      </c>
      <c r="B57" s="9" t="s">
        <v>76</v>
      </c>
      <c r="C57" s="71">
        <f>C23*50</f>
        <v>500</v>
      </c>
      <c r="D57" s="71" t="s">
        <v>133</v>
      </c>
      <c r="E57" s="32">
        <v>25</v>
      </c>
      <c r="F57" s="71" t="s">
        <v>69</v>
      </c>
      <c r="G57" s="32">
        <f t="shared" ref="G57:G62" si="46">C57*E57</f>
        <v>12500</v>
      </c>
      <c r="H57" s="160">
        <f t="shared" ref="H57:H62" si="47">G57</f>
        <v>12500</v>
      </c>
      <c r="I57" s="161" t="s">
        <v>69</v>
      </c>
      <c r="J57" s="71"/>
      <c r="K57" s="32">
        <f t="shared" ref="K57:K74" si="48">H57*$M$6</f>
        <v>150000</v>
      </c>
      <c r="L57" s="32">
        <f t="shared" ref="L57:M62" si="49">K57</f>
        <v>150000</v>
      </c>
      <c r="M57" s="32">
        <f t="shared" si="49"/>
        <v>150000</v>
      </c>
    </row>
    <row r="58" spans="1:14" x14ac:dyDescent="0.25">
      <c r="A58" s="71" t="s">
        <v>73</v>
      </c>
      <c r="B58" s="9" t="s">
        <v>126</v>
      </c>
      <c r="C58" s="71">
        <f>C24</f>
        <v>10</v>
      </c>
      <c r="D58" s="71" t="s">
        <v>141</v>
      </c>
      <c r="E58" s="32">
        <v>40</v>
      </c>
      <c r="F58" s="71" t="s">
        <v>69</v>
      </c>
      <c r="G58" s="32">
        <f t="shared" ref="G58" si="50">C58*E58</f>
        <v>400</v>
      </c>
      <c r="H58" s="160">
        <f t="shared" ref="H58" si="51">G58</f>
        <v>400</v>
      </c>
      <c r="I58" s="161" t="s">
        <v>69</v>
      </c>
      <c r="J58" s="71"/>
      <c r="K58" s="32">
        <f t="shared" si="48"/>
        <v>4800</v>
      </c>
      <c r="L58" s="32">
        <f t="shared" ref="L58" si="52">K58</f>
        <v>4800</v>
      </c>
      <c r="M58" s="32">
        <f t="shared" ref="M58" si="53">L58</f>
        <v>4800</v>
      </c>
    </row>
    <row r="59" spans="1:14" x14ac:dyDescent="0.25">
      <c r="A59" s="71" t="s">
        <v>74</v>
      </c>
      <c r="B59" s="9" t="s">
        <v>77</v>
      </c>
      <c r="C59" s="71">
        <f>C24*20</f>
        <v>200</v>
      </c>
      <c r="D59" s="71" t="s">
        <v>79</v>
      </c>
      <c r="E59" s="32">
        <v>50</v>
      </c>
      <c r="F59" s="71" t="s">
        <v>69</v>
      </c>
      <c r="G59" s="32">
        <f t="shared" si="46"/>
        <v>10000</v>
      </c>
      <c r="H59" s="160">
        <f t="shared" si="47"/>
        <v>10000</v>
      </c>
      <c r="I59" s="161" t="s">
        <v>69</v>
      </c>
      <c r="J59" s="71"/>
      <c r="K59" s="32">
        <f t="shared" si="48"/>
        <v>120000</v>
      </c>
      <c r="L59" s="32">
        <f t="shared" si="49"/>
        <v>120000</v>
      </c>
      <c r="M59" s="32">
        <f t="shared" si="49"/>
        <v>120000</v>
      </c>
    </row>
    <row r="60" spans="1:14" x14ac:dyDescent="0.25">
      <c r="A60" s="71" t="s">
        <v>121</v>
      </c>
      <c r="B60" s="9" t="s">
        <v>80</v>
      </c>
      <c r="C60" s="71">
        <f>10*C25</f>
        <v>100</v>
      </c>
      <c r="D60" s="71" t="s">
        <v>133</v>
      </c>
      <c r="E60" s="32">
        <v>40</v>
      </c>
      <c r="F60" s="71" t="s">
        <v>69</v>
      </c>
      <c r="G60" s="32">
        <f t="shared" si="46"/>
        <v>4000</v>
      </c>
      <c r="H60" s="160">
        <f t="shared" si="47"/>
        <v>4000</v>
      </c>
      <c r="I60" s="161" t="s">
        <v>69</v>
      </c>
      <c r="J60" s="71"/>
      <c r="K60" s="32">
        <f t="shared" si="48"/>
        <v>48000</v>
      </c>
      <c r="L60" s="32">
        <f t="shared" si="49"/>
        <v>48000</v>
      </c>
      <c r="M60" s="32">
        <f t="shared" si="49"/>
        <v>48000</v>
      </c>
    </row>
    <row r="61" spans="1:14" x14ac:dyDescent="0.25">
      <c r="A61" s="71" t="s">
        <v>82</v>
      </c>
      <c r="B61" s="9" t="s">
        <v>98</v>
      </c>
      <c r="C61" s="71">
        <f>C26*50</f>
        <v>500</v>
      </c>
      <c r="D61" s="71" t="s">
        <v>133</v>
      </c>
      <c r="E61" s="32">
        <v>30</v>
      </c>
      <c r="F61" s="71" t="s">
        <v>69</v>
      </c>
      <c r="G61" s="32">
        <f t="shared" si="46"/>
        <v>15000</v>
      </c>
      <c r="H61" s="160">
        <f t="shared" si="47"/>
        <v>15000</v>
      </c>
      <c r="I61" s="161" t="s">
        <v>69</v>
      </c>
      <c r="J61" s="71"/>
      <c r="K61" s="32">
        <f t="shared" si="48"/>
        <v>180000</v>
      </c>
      <c r="L61" s="32">
        <f t="shared" si="49"/>
        <v>180000</v>
      </c>
      <c r="M61" s="32">
        <f t="shared" si="49"/>
        <v>180000</v>
      </c>
    </row>
    <row r="62" spans="1:14" x14ac:dyDescent="0.25">
      <c r="A62" s="71" t="s">
        <v>84</v>
      </c>
      <c r="B62" s="9" t="s">
        <v>99</v>
      </c>
      <c r="C62" s="71">
        <f>C27</f>
        <v>20</v>
      </c>
      <c r="D62" s="71" t="s">
        <v>143</v>
      </c>
      <c r="E62" s="32">
        <v>750</v>
      </c>
      <c r="F62" s="71" t="s">
        <v>69</v>
      </c>
      <c r="G62" s="32">
        <f t="shared" si="46"/>
        <v>15000</v>
      </c>
      <c r="H62" s="160">
        <f t="shared" si="47"/>
        <v>15000</v>
      </c>
      <c r="I62" s="161" t="s">
        <v>69</v>
      </c>
      <c r="J62" s="71"/>
      <c r="K62" s="32">
        <f t="shared" si="48"/>
        <v>180000</v>
      </c>
      <c r="L62" s="32">
        <f t="shared" si="49"/>
        <v>180000</v>
      </c>
      <c r="M62" s="32">
        <f t="shared" si="49"/>
        <v>180000</v>
      </c>
    </row>
    <row r="63" spans="1:14" x14ac:dyDescent="0.25">
      <c r="A63" s="71" t="s">
        <v>85</v>
      </c>
      <c r="B63" s="9" t="s">
        <v>129</v>
      </c>
      <c r="C63" s="71">
        <f>C28*25</f>
        <v>75</v>
      </c>
      <c r="D63" s="71" t="s">
        <v>133</v>
      </c>
      <c r="E63" s="32">
        <v>160</v>
      </c>
      <c r="F63" s="71" t="s">
        <v>69</v>
      </c>
      <c r="G63" s="32">
        <f>C63*E63</f>
        <v>12000</v>
      </c>
      <c r="H63" s="160">
        <f>G63</f>
        <v>12000</v>
      </c>
      <c r="I63" s="161" t="s">
        <v>69</v>
      </c>
      <c r="J63" s="71"/>
      <c r="K63" s="32">
        <f t="shared" si="48"/>
        <v>144000</v>
      </c>
      <c r="L63" s="32">
        <f>K63</f>
        <v>144000</v>
      </c>
      <c r="M63" s="32">
        <f>L63</f>
        <v>144000</v>
      </c>
    </row>
    <row r="64" spans="1:14" x14ac:dyDescent="0.25">
      <c r="A64" s="71" t="s">
        <v>95</v>
      </c>
      <c r="B64" s="9" t="s">
        <v>155</v>
      </c>
      <c r="C64" s="71">
        <f>C29*96</f>
        <v>480</v>
      </c>
      <c r="D64" s="71" t="s">
        <v>141</v>
      </c>
      <c r="E64" s="32">
        <v>15</v>
      </c>
      <c r="F64" s="71" t="s">
        <v>69</v>
      </c>
      <c r="G64" s="32">
        <f t="shared" ref="G64" si="54">C64*E64</f>
        <v>7200</v>
      </c>
      <c r="H64" s="160">
        <f t="shared" ref="H64:H67" si="55">G64</f>
        <v>7200</v>
      </c>
      <c r="I64" s="161" t="s">
        <v>69</v>
      </c>
      <c r="J64" s="71"/>
      <c r="K64" s="32">
        <f t="shared" si="48"/>
        <v>86400</v>
      </c>
      <c r="L64" s="32">
        <f t="shared" ref="L64:L67" si="56">K64</f>
        <v>86400</v>
      </c>
      <c r="M64" s="32">
        <f t="shared" ref="M64:M67" si="57">L64</f>
        <v>86400</v>
      </c>
    </row>
    <row r="65" spans="1:17" x14ac:dyDescent="0.25">
      <c r="A65" s="71" t="s">
        <v>96</v>
      </c>
      <c r="B65" s="9" t="s">
        <v>127</v>
      </c>
      <c r="C65" s="71">
        <f>C30*10</f>
        <v>100</v>
      </c>
      <c r="D65" s="71" t="s">
        <v>132</v>
      </c>
      <c r="E65" s="32">
        <v>30</v>
      </c>
      <c r="F65" s="71" t="s">
        <v>69</v>
      </c>
      <c r="G65" s="32">
        <f>C65*E65</f>
        <v>3000</v>
      </c>
      <c r="H65" s="160">
        <f t="shared" ref="H65" si="58">G65</f>
        <v>3000</v>
      </c>
      <c r="I65" s="161" t="s">
        <v>69</v>
      </c>
      <c r="J65" s="71"/>
      <c r="K65" s="32">
        <f t="shared" si="48"/>
        <v>36000</v>
      </c>
      <c r="L65" s="32">
        <f t="shared" ref="L65" si="59">K65</f>
        <v>36000</v>
      </c>
      <c r="M65" s="32">
        <f t="shared" ref="M65" si="60">L65</f>
        <v>36000</v>
      </c>
    </row>
    <row r="66" spans="1:17" x14ac:dyDescent="0.25">
      <c r="A66" s="71" t="s">
        <v>97</v>
      </c>
      <c r="B66" s="9" t="s">
        <v>128</v>
      </c>
      <c r="C66" s="71">
        <f>C31*75</f>
        <v>375</v>
      </c>
      <c r="D66" s="71" t="s">
        <v>141</v>
      </c>
      <c r="E66" s="32">
        <v>5</v>
      </c>
      <c r="F66" s="71" t="s">
        <v>69</v>
      </c>
      <c r="G66" s="32">
        <f>C66*E66</f>
        <v>1875</v>
      </c>
      <c r="H66" s="160">
        <f t="shared" si="55"/>
        <v>1875</v>
      </c>
      <c r="I66" s="161" t="s">
        <v>69</v>
      </c>
      <c r="J66" s="71"/>
      <c r="K66" s="32">
        <f t="shared" si="48"/>
        <v>22500</v>
      </c>
      <c r="L66" s="32">
        <f t="shared" si="56"/>
        <v>22500</v>
      </c>
      <c r="M66" s="32">
        <f t="shared" si="57"/>
        <v>22500</v>
      </c>
    </row>
    <row r="67" spans="1:17" x14ac:dyDescent="0.25">
      <c r="A67" s="71" t="s">
        <v>108</v>
      </c>
      <c r="B67" s="9" t="s">
        <v>130</v>
      </c>
      <c r="C67" s="71">
        <f>C31*18</f>
        <v>90</v>
      </c>
      <c r="D67" s="71" t="s">
        <v>141</v>
      </c>
      <c r="E67" s="32">
        <v>20</v>
      </c>
      <c r="F67" s="71" t="s">
        <v>69</v>
      </c>
      <c r="G67" s="32">
        <f t="shared" ref="G67" si="61">C67*E67</f>
        <v>1800</v>
      </c>
      <c r="H67" s="160">
        <f t="shared" si="55"/>
        <v>1800</v>
      </c>
      <c r="I67" s="161" t="s">
        <v>69</v>
      </c>
      <c r="J67" s="71"/>
      <c r="K67" s="32">
        <f t="shared" si="48"/>
        <v>21600</v>
      </c>
      <c r="L67" s="32">
        <f t="shared" si="56"/>
        <v>21600</v>
      </c>
      <c r="M67" s="32">
        <f t="shared" si="57"/>
        <v>21600</v>
      </c>
    </row>
    <row r="68" spans="1:17" x14ac:dyDescent="0.25">
      <c r="A68" s="71" t="s">
        <v>109</v>
      </c>
      <c r="B68" s="9" t="s">
        <v>120</v>
      </c>
      <c r="C68" s="71">
        <f>C35</f>
        <v>20</v>
      </c>
      <c r="D68" s="71" t="s">
        <v>143</v>
      </c>
      <c r="E68" s="32">
        <v>170</v>
      </c>
      <c r="F68" s="71" t="s">
        <v>69</v>
      </c>
      <c r="G68" s="32">
        <f t="shared" ref="G68" si="62">C68*E68</f>
        <v>3400</v>
      </c>
      <c r="H68" s="160">
        <f t="shared" ref="H68" si="63">G68</f>
        <v>3400</v>
      </c>
      <c r="I68" s="161" t="s">
        <v>69</v>
      </c>
      <c r="J68" s="71"/>
      <c r="K68" s="32">
        <f t="shared" si="48"/>
        <v>40800</v>
      </c>
      <c r="L68" s="32">
        <f>K68</f>
        <v>40800</v>
      </c>
      <c r="M68" s="32">
        <f>L68</f>
        <v>40800</v>
      </c>
    </row>
    <row r="69" spans="1:17" x14ac:dyDescent="0.25">
      <c r="A69" s="71" t="s">
        <v>110</v>
      </c>
      <c r="B69" s="9" t="s">
        <v>235</v>
      </c>
      <c r="C69" s="71">
        <f>C36</f>
        <v>30</v>
      </c>
      <c r="D69" s="71" t="s">
        <v>141</v>
      </c>
      <c r="E69" s="32">
        <v>160</v>
      </c>
      <c r="F69" s="71" t="s">
        <v>69</v>
      </c>
      <c r="G69" s="32">
        <f t="shared" ref="G69:G74" si="64">C69*E69</f>
        <v>4800</v>
      </c>
      <c r="H69" s="160">
        <f t="shared" ref="H69:H74" si="65">G69</f>
        <v>4800</v>
      </c>
      <c r="I69" s="161" t="s">
        <v>69</v>
      </c>
      <c r="J69" s="71"/>
      <c r="K69" s="32">
        <f t="shared" si="48"/>
        <v>57600</v>
      </c>
      <c r="L69" s="32">
        <f t="shared" ref="L69:L74" si="66">K69</f>
        <v>57600</v>
      </c>
      <c r="M69" s="32">
        <f t="shared" ref="M69:M74" si="67">L69</f>
        <v>57600</v>
      </c>
    </row>
    <row r="70" spans="1:17" x14ac:dyDescent="0.25">
      <c r="A70" s="71" t="s">
        <v>122</v>
      </c>
      <c r="B70" s="9" t="s">
        <v>236</v>
      </c>
      <c r="C70" s="71">
        <f>C37</f>
        <v>24</v>
      </c>
      <c r="D70" s="71" t="s">
        <v>141</v>
      </c>
      <c r="E70" s="32">
        <v>250</v>
      </c>
      <c r="F70" s="71" t="s">
        <v>69</v>
      </c>
      <c r="G70" s="32">
        <f t="shared" ref="G70" si="68">C70*E70</f>
        <v>6000</v>
      </c>
      <c r="H70" s="160">
        <f t="shared" ref="H70" si="69">G70</f>
        <v>6000</v>
      </c>
      <c r="I70" s="161" t="s">
        <v>69</v>
      </c>
      <c r="J70" s="71"/>
      <c r="K70" s="32">
        <f t="shared" si="48"/>
        <v>72000</v>
      </c>
      <c r="L70" s="32">
        <f t="shared" ref="L70" si="70">K70</f>
        <v>72000</v>
      </c>
      <c r="M70" s="32">
        <f t="shared" ref="M70" si="71">L70</f>
        <v>72000</v>
      </c>
    </row>
    <row r="71" spans="1:17" x14ac:dyDescent="0.25">
      <c r="A71" s="71" t="s">
        <v>164</v>
      </c>
      <c r="B71" s="9" t="s">
        <v>237</v>
      </c>
      <c r="C71" s="71">
        <f>C38</f>
        <v>24</v>
      </c>
      <c r="D71" s="71" t="s">
        <v>141</v>
      </c>
      <c r="E71" s="32">
        <v>180</v>
      </c>
      <c r="F71" s="71" t="s">
        <v>69</v>
      </c>
      <c r="G71" s="32">
        <f t="shared" si="64"/>
        <v>4320</v>
      </c>
      <c r="H71" s="160">
        <f t="shared" si="65"/>
        <v>4320</v>
      </c>
      <c r="I71" s="161" t="s">
        <v>69</v>
      </c>
      <c r="J71" s="71"/>
      <c r="K71" s="32">
        <f t="shared" si="48"/>
        <v>51840</v>
      </c>
      <c r="L71" s="32">
        <f t="shared" si="66"/>
        <v>51840</v>
      </c>
      <c r="M71" s="32">
        <f t="shared" si="67"/>
        <v>51840</v>
      </c>
    </row>
    <row r="72" spans="1:17" x14ac:dyDescent="0.25">
      <c r="A72" s="71" t="s">
        <v>165</v>
      </c>
      <c r="B72" s="9" t="s">
        <v>238</v>
      </c>
      <c r="C72" s="71">
        <f>C39</f>
        <v>12</v>
      </c>
      <c r="D72" s="71" t="s">
        <v>141</v>
      </c>
      <c r="E72" s="32">
        <v>60</v>
      </c>
      <c r="F72" s="71" t="s">
        <v>69</v>
      </c>
      <c r="G72" s="32">
        <f t="shared" ref="G72" si="72">C72*E72</f>
        <v>720</v>
      </c>
      <c r="H72" s="160">
        <f t="shared" ref="H72" si="73">G72</f>
        <v>720</v>
      </c>
      <c r="I72" s="161" t="s">
        <v>69</v>
      </c>
      <c r="J72" s="71"/>
      <c r="K72" s="32">
        <f t="shared" si="48"/>
        <v>8640</v>
      </c>
      <c r="L72" s="32">
        <f t="shared" ref="L72" si="74">K72</f>
        <v>8640</v>
      </c>
      <c r="M72" s="32">
        <f t="shared" ref="M72" si="75">L72</f>
        <v>8640</v>
      </c>
    </row>
    <row r="73" spans="1:17" x14ac:dyDescent="0.25">
      <c r="A73" s="71" t="s">
        <v>166</v>
      </c>
      <c r="B73" s="9" t="s">
        <v>239</v>
      </c>
      <c r="C73" s="71">
        <f>C40</f>
        <v>12</v>
      </c>
      <c r="D73" s="71" t="s">
        <v>141</v>
      </c>
      <c r="E73" s="32">
        <v>80</v>
      </c>
      <c r="F73" s="71" t="s">
        <v>69</v>
      </c>
      <c r="G73" s="32">
        <f t="shared" si="64"/>
        <v>960</v>
      </c>
      <c r="H73" s="160">
        <f t="shared" si="65"/>
        <v>960</v>
      </c>
      <c r="I73" s="161" t="s">
        <v>69</v>
      </c>
      <c r="J73" s="71"/>
      <c r="K73" s="32">
        <f t="shared" si="48"/>
        <v>11520</v>
      </c>
      <c r="L73" s="32">
        <f t="shared" si="66"/>
        <v>11520</v>
      </c>
      <c r="M73" s="32">
        <f t="shared" si="67"/>
        <v>11520</v>
      </c>
    </row>
    <row r="74" spans="1:17" x14ac:dyDescent="0.25">
      <c r="A74" s="71" t="s">
        <v>167</v>
      </c>
      <c r="B74" s="9" t="s">
        <v>154</v>
      </c>
      <c r="C74" s="71">
        <v>1</v>
      </c>
      <c r="D74" s="71" t="s">
        <v>139</v>
      </c>
      <c r="E74" s="32">
        <v>1200</v>
      </c>
      <c r="F74" s="71" t="s">
        <v>69</v>
      </c>
      <c r="G74" s="32">
        <f t="shared" si="64"/>
        <v>1200</v>
      </c>
      <c r="H74" s="160">
        <f t="shared" si="65"/>
        <v>1200</v>
      </c>
      <c r="I74" s="161" t="s">
        <v>69</v>
      </c>
      <c r="J74" s="71"/>
      <c r="K74" s="32">
        <f t="shared" si="48"/>
        <v>14400</v>
      </c>
      <c r="L74" s="32">
        <f t="shared" si="66"/>
        <v>14400</v>
      </c>
      <c r="M74" s="32">
        <f t="shared" si="67"/>
        <v>14400</v>
      </c>
    </row>
    <row r="75" spans="1:17" x14ac:dyDescent="0.25">
      <c r="A75" s="112"/>
      <c r="C75" s="112"/>
      <c r="D75" s="80"/>
      <c r="E75" s="32"/>
      <c r="F75" s="112"/>
      <c r="G75" s="32"/>
      <c r="H75" s="160"/>
      <c r="I75" s="161"/>
      <c r="J75" s="80"/>
      <c r="K75" s="32"/>
      <c r="L75" s="32"/>
      <c r="M75" s="32"/>
    </row>
    <row r="76" spans="1:17" x14ac:dyDescent="0.25">
      <c r="A76" s="21"/>
      <c r="B76" s="139" t="s">
        <v>213</v>
      </c>
      <c r="C76" s="19"/>
      <c r="D76" s="19"/>
      <c r="E76" s="24"/>
      <c r="F76" s="24"/>
      <c r="G76" s="24"/>
      <c r="H76" s="158"/>
      <c r="I76" s="159"/>
      <c r="J76" s="112"/>
      <c r="K76" s="30"/>
      <c r="L76" s="30"/>
      <c r="M76" s="30"/>
      <c r="N76" s="53"/>
      <c r="O76" s="2"/>
    </row>
    <row r="77" spans="1:17" s="144" customFormat="1" x14ac:dyDescent="0.25">
      <c r="A77" s="180" t="s">
        <v>214</v>
      </c>
      <c r="B77" s="188" t="s">
        <v>215</v>
      </c>
      <c r="C77" s="180">
        <v>1</v>
      </c>
      <c r="D77" s="180" t="s">
        <v>139</v>
      </c>
      <c r="E77" s="183">
        <f>((SUM(G53:G55)-SUM(G17:G20)))*52/12</f>
        <v>9966.6666666666661</v>
      </c>
      <c r="F77" s="180" t="s">
        <v>69</v>
      </c>
      <c r="G77" s="183">
        <f t="shared" ref="G77:G82" si="76">C77*E77</f>
        <v>9966.6666666666661</v>
      </c>
      <c r="H77" s="184"/>
      <c r="I77" s="185" t="s">
        <v>69</v>
      </c>
      <c r="J77" s="189"/>
      <c r="K77" s="183"/>
      <c r="L77" s="183">
        <f>G77*$M$6</f>
        <v>119600</v>
      </c>
      <c r="M77" s="183">
        <f t="shared" ref="M77:M82" si="77">L77</f>
        <v>119600</v>
      </c>
      <c r="N77" s="186" t="s">
        <v>216</v>
      </c>
      <c r="P77" s="187"/>
    </row>
    <row r="78" spans="1:17" s="144" customFormat="1" ht="30" x14ac:dyDescent="0.25">
      <c r="A78" s="180" t="s">
        <v>217</v>
      </c>
      <c r="B78" s="188" t="s">
        <v>225</v>
      </c>
      <c r="C78" s="180">
        <v>1</v>
      </c>
      <c r="D78" s="180" t="s">
        <v>139</v>
      </c>
      <c r="E78" s="183">
        <f>(SUM(G57:G68)-SUM(G23:G35))*0.25*52/12</f>
        <v>6927.916666666667</v>
      </c>
      <c r="F78" s="180" t="s">
        <v>69</v>
      </c>
      <c r="G78" s="183">
        <f>C78*E78</f>
        <v>6927.916666666667</v>
      </c>
      <c r="H78" s="184"/>
      <c r="I78" s="185" t="s">
        <v>69</v>
      </c>
      <c r="J78" s="189"/>
      <c r="K78" s="183"/>
      <c r="L78" s="183">
        <f>G78*$M$6</f>
        <v>83135</v>
      </c>
      <c r="M78" s="183">
        <f t="shared" si="77"/>
        <v>83135</v>
      </c>
      <c r="N78" s="190" t="s">
        <v>218</v>
      </c>
      <c r="Q78" s="187"/>
    </row>
    <row r="79" spans="1:17" s="191" customFormat="1" x14ac:dyDescent="0.25">
      <c r="A79" s="180" t="s">
        <v>219</v>
      </c>
      <c r="B79" s="188" t="s">
        <v>220</v>
      </c>
      <c r="C79" s="180">
        <v>1</v>
      </c>
      <c r="D79" s="180" t="s">
        <v>139</v>
      </c>
      <c r="E79" s="183">
        <v>12000</v>
      </c>
      <c r="F79" s="180" t="s">
        <v>69</v>
      </c>
      <c r="G79" s="183">
        <f t="shared" si="76"/>
        <v>12000</v>
      </c>
      <c r="H79" s="184"/>
      <c r="I79" s="185" t="s">
        <v>69</v>
      </c>
      <c r="J79" s="189"/>
      <c r="K79" s="183"/>
      <c r="L79" s="183">
        <f>G79*$M$6</f>
        <v>144000</v>
      </c>
      <c r="M79" s="183">
        <f t="shared" si="77"/>
        <v>144000</v>
      </c>
      <c r="N79" s="190"/>
      <c r="P79" s="187"/>
      <c r="Q79" s="192"/>
    </row>
    <row r="80" spans="1:17" s="191" customFormat="1" x14ac:dyDescent="0.25">
      <c r="A80" s="180" t="s">
        <v>221</v>
      </c>
      <c r="B80" s="188" t="s">
        <v>226</v>
      </c>
      <c r="C80" s="180">
        <v>1</v>
      </c>
      <c r="D80" s="180" t="s">
        <v>139</v>
      </c>
      <c r="E80" s="183">
        <v>10000</v>
      </c>
      <c r="F80" s="180" t="s">
        <v>69</v>
      </c>
      <c r="G80" s="183">
        <f t="shared" si="76"/>
        <v>10000</v>
      </c>
      <c r="H80" s="184"/>
      <c r="I80" s="185" t="s">
        <v>69</v>
      </c>
      <c r="J80" s="189"/>
      <c r="K80" s="183"/>
      <c r="L80" s="183">
        <f>G80*$M$6</f>
        <v>120000</v>
      </c>
      <c r="M80" s="183">
        <f t="shared" si="77"/>
        <v>120000</v>
      </c>
      <c r="N80" s="190"/>
      <c r="P80" s="187"/>
      <c r="Q80" s="192"/>
    </row>
    <row r="81" spans="1:17" s="144" customFormat="1" x14ac:dyDescent="0.25">
      <c r="A81" s="180" t="s">
        <v>222</v>
      </c>
      <c r="B81" s="188" t="s">
        <v>234</v>
      </c>
      <c r="C81" s="180">
        <v>1</v>
      </c>
      <c r="D81" s="180" t="s">
        <v>139</v>
      </c>
      <c r="E81" s="183">
        <v>5000</v>
      </c>
      <c r="F81" s="180" t="s">
        <v>69</v>
      </c>
      <c r="G81" s="183">
        <f t="shared" ref="G81" si="78">C81*E81</f>
        <v>5000</v>
      </c>
      <c r="H81" s="184"/>
      <c r="I81" s="185" t="s">
        <v>69</v>
      </c>
      <c r="J81" s="189"/>
      <c r="K81" s="183"/>
      <c r="L81" s="183">
        <f>G81*$M$6</f>
        <v>60000</v>
      </c>
      <c r="M81" s="183">
        <f t="shared" ref="M81" si="79">L81</f>
        <v>60000</v>
      </c>
      <c r="N81" s="186"/>
      <c r="Q81" s="187"/>
    </row>
    <row r="82" spans="1:17" s="144" customFormat="1" x14ac:dyDescent="0.25">
      <c r="A82" s="180" t="s">
        <v>223</v>
      </c>
      <c r="B82" s="188" t="s">
        <v>224</v>
      </c>
      <c r="C82" s="180">
        <v>1</v>
      </c>
      <c r="D82" s="180" t="s">
        <v>139</v>
      </c>
      <c r="E82" s="183">
        <v>2500</v>
      </c>
      <c r="F82" s="180" t="s">
        <v>69</v>
      </c>
      <c r="G82" s="183">
        <f t="shared" si="76"/>
        <v>2500</v>
      </c>
      <c r="H82" s="184"/>
      <c r="I82" s="185" t="s">
        <v>69</v>
      </c>
      <c r="J82" s="189"/>
      <c r="K82" s="183"/>
      <c r="L82" s="183">
        <f>G82*$M$6</f>
        <v>30000</v>
      </c>
      <c r="M82" s="183">
        <f t="shared" si="77"/>
        <v>30000</v>
      </c>
      <c r="N82" s="186"/>
      <c r="Q82" s="187"/>
    </row>
    <row r="83" spans="1:17" x14ac:dyDescent="0.25">
      <c r="A83" s="46"/>
      <c r="C83" s="46"/>
      <c r="D83" s="46"/>
      <c r="E83" s="46"/>
      <c r="F83" s="46"/>
      <c r="G83" s="32"/>
      <c r="H83" s="160"/>
      <c r="I83" s="161"/>
      <c r="J83" s="46"/>
      <c r="K83" s="32"/>
      <c r="L83" s="32"/>
      <c r="M83" s="32"/>
    </row>
    <row r="84" spans="1:17" s="7" customFormat="1" x14ac:dyDescent="0.25">
      <c r="A84" s="25" t="s">
        <v>12</v>
      </c>
      <c r="B84" s="114" t="s">
        <v>0</v>
      </c>
      <c r="C84" s="114"/>
      <c r="D84" s="114"/>
      <c r="E84" s="114"/>
      <c r="F84" s="114"/>
      <c r="G84" s="31"/>
      <c r="H84" s="166">
        <f>SUM(H53:H74)</f>
        <v>141225</v>
      </c>
      <c r="I84" s="167" t="s">
        <v>69</v>
      </c>
      <c r="J84" s="8"/>
      <c r="K84" s="31">
        <f>SUM(K53:K83)</f>
        <v>1694700</v>
      </c>
      <c r="L84" s="31">
        <f>SUM(L53:L83)</f>
        <v>2251435</v>
      </c>
      <c r="M84" s="31">
        <f>SUM(M53:M83)</f>
        <v>2251435</v>
      </c>
      <c r="N84" s="54"/>
    </row>
    <row r="85" spans="1:17" x14ac:dyDescent="0.25">
      <c r="H85" s="172"/>
      <c r="I85" s="173"/>
      <c r="J85" s="10"/>
    </row>
    <row r="86" spans="1:17" ht="18.75" x14ac:dyDescent="0.25">
      <c r="A86" s="115" t="s">
        <v>49</v>
      </c>
      <c r="B86" s="115"/>
      <c r="C86" s="115"/>
      <c r="D86" s="115"/>
      <c r="E86" s="115"/>
      <c r="F86" s="115"/>
      <c r="G86" s="115"/>
      <c r="H86" s="174" t="s">
        <v>209</v>
      </c>
      <c r="I86" s="175"/>
      <c r="J86" s="10"/>
      <c r="K86" s="34" t="s">
        <v>56</v>
      </c>
      <c r="L86" s="34" t="s">
        <v>55</v>
      </c>
      <c r="M86" s="34" t="s">
        <v>57</v>
      </c>
      <c r="N86" s="51"/>
    </row>
    <row r="87" spans="1:17" x14ac:dyDescent="0.25">
      <c r="A87" s="8" t="s">
        <v>7</v>
      </c>
      <c r="B87" s="128" t="s">
        <v>28</v>
      </c>
      <c r="C87" s="128"/>
      <c r="D87" s="128"/>
      <c r="E87" s="128"/>
      <c r="F87" s="128"/>
      <c r="G87" s="32"/>
      <c r="H87" s="160">
        <f>H48</f>
        <v>123738.33333333333</v>
      </c>
      <c r="I87" s="161" t="s">
        <v>69</v>
      </c>
      <c r="J87" s="10"/>
      <c r="K87" s="32">
        <f>K48</f>
        <v>1484860</v>
      </c>
      <c r="L87" s="32">
        <f>L48</f>
        <v>1487860</v>
      </c>
      <c r="M87" s="32">
        <f>M48</f>
        <v>1487860</v>
      </c>
    </row>
    <row r="88" spans="1:17" x14ac:dyDescent="0.25">
      <c r="A88" s="8" t="s">
        <v>12</v>
      </c>
      <c r="B88" s="128" t="s">
        <v>50</v>
      </c>
      <c r="C88" s="128"/>
      <c r="D88" s="128"/>
      <c r="E88" s="128"/>
      <c r="F88" s="128"/>
      <c r="G88" s="32"/>
      <c r="H88" s="160">
        <f>H84</f>
        <v>141225</v>
      </c>
      <c r="I88" s="161" t="s">
        <v>69</v>
      </c>
      <c r="J88" s="10"/>
      <c r="K88" s="32">
        <f>K84</f>
        <v>1694700</v>
      </c>
      <c r="L88" s="32">
        <f>L84</f>
        <v>2251435</v>
      </c>
      <c r="M88" s="32">
        <f>M84</f>
        <v>2251435</v>
      </c>
    </row>
    <row r="89" spans="1:17" s="7" customFormat="1" x14ac:dyDescent="0.25">
      <c r="A89" s="20"/>
      <c r="B89" s="127" t="s">
        <v>66</v>
      </c>
      <c r="C89" s="127"/>
      <c r="D89" s="127"/>
      <c r="E89" s="127"/>
      <c r="F89" s="127"/>
      <c r="G89" s="31"/>
      <c r="H89" s="166">
        <f>H88-H87</f>
        <v>17486.666666666672</v>
      </c>
      <c r="I89" s="167" t="s">
        <v>69</v>
      </c>
      <c r="J89" s="8"/>
      <c r="K89" s="31">
        <f>K88-K87</f>
        <v>209840</v>
      </c>
      <c r="L89" s="31">
        <f>L88-L87</f>
        <v>763575</v>
      </c>
      <c r="M89" s="31">
        <f>M88-M87</f>
        <v>763575</v>
      </c>
      <c r="N89" s="54"/>
    </row>
    <row r="90" spans="1:17" x14ac:dyDescent="0.25">
      <c r="A90" s="41" t="s">
        <v>9</v>
      </c>
      <c r="B90" s="129" t="s">
        <v>32</v>
      </c>
      <c r="C90" s="129"/>
      <c r="D90" s="129"/>
      <c r="E90" s="129"/>
      <c r="F90" s="129"/>
      <c r="G90" s="42"/>
      <c r="H90" s="176"/>
      <c r="I90" s="177"/>
      <c r="J90" s="10"/>
      <c r="K90" s="32"/>
      <c r="L90" s="42">
        <f>'Info general'!H22</f>
        <v>2215</v>
      </c>
      <c r="M90" s="42">
        <f>'Info general'!H22</f>
        <v>2215</v>
      </c>
      <c r="N90" s="55"/>
    </row>
    <row r="91" spans="1:17" s="7" customFormat="1" ht="15.75" thickBot="1" x14ac:dyDescent="0.3">
      <c r="A91" s="20"/>
      <c r="B91" s="127" t="s">
        <v>67</v>
      </c>
      <c r="C91" s="127"/>
      <c r="D91" s="127"/>
      <c r="E91" s="127"/>
      <c r="F91" s="127"/>
      <c r="G91" s="31"/>
      <c r="H91" s="178">
        <f>H89-H90</f>
        <v>17486.666666666672</v>
      </c>
      <c r="I91" s="179" t="s">
        <v>69</v>
      </c>
      <c r="J91" s="8"/>
      <c r="K91" s="31">
        <f>K89-K90</f>
        <v>209840</v>
      </c>
      <c r="L91" s="31">
        <f t="shared" ref="L91:M91" si="80">L89-L90</f>
        <v>761360</v>
      </c>
      <c r="M91" s="31">
        <f t="shared" si="80"/>
        <v>761360</v>
      </c>
      <c r="N91" s="54"/>
    </row>
    <row r="92" spans="1:17" x14ac:dyDescent="0.25">
      <c r="J92" s="10"/>
    </row>
    <row r="93" spans="1:17" ht="15.75" thickBot="1" x14ac:dyDescent="0.3">
      <c r="B93" s="45"/>
      <c r="C93" s="45"/>
      <c r="J93" s="10"/>
    </row>
    <row r="94" spans="1:17" s="200" customFormat="1" ht="15.75" x14ac:dyDescent="0.25">
      <c r="A94" s="193" t="s">
        <v>227</v>
      </c>
      <c r="B94" s="194"/>
      <c r="C94" s="194"/>
      <c r="D94" s="194"/>
      <c r="E94" s="194"/>
      <c r="F94" s="194"/>
      <c r="G94" s="194"/>
      <c r="H94" s="193" t="s">
        <v>103</v>
      </c>
      <c r="I94" s="195"/>
      <c r="J94" s="196"/>
      <c r="K94" s="197" t="s">
        <v>56</v>
      </c>
      <c r="L94" s="198" t="s">
        <v>55</v>
      </c>
      <c r="M94" s="199" t="s">
        <v>57</v>
      </c>
      <c r="N94" s="50"/>
    </row>
    <row r="95" spans="1:17" x14ac:dyDescent="0.25">
      <c r="A95" s="201" t="s">
        <v>9</v>
      </c>
      <c r="B95" s="202" t="s">
        <v>228</v>
      </c>
      <c r="C95" s="202"/>
      <c r="D95" s="202"/>
      <c r="E95" s="202"/>
      <c r="F95" s="202"/>
      <c r="G95" s="203"/>
      <c r="H95" s="204"/>
      <c r="I95" s="205"/>
      <c r="J95" s="206"/>
      <c r="K95" s="204">
        <f>+'Info general'!F22</f>
        <v>34400</v>
      </c>
      <c r="L95" s="203">
        <f>+'Info general'!F32</f>
        <v>74500</v>
      </c>
      <c r="M95" s="205">
        <v>0</v>
      </c>
    </row>
    <row r="96" spans="1:17" x14ac:dyDescent="0.25">
      <c r="A96" s="201" t="s">
        <v>9</v>
      </c>
      <c r="B96" s="202" t="s">
        <v>32</v>
      </c>
      <c r="C96" s="202"/>
      <c r="D96" s="202"/>
      <c r="E96" s="202"/>
      <c r="F96" s="202"/>
      <c r="G96" s="203"/>
      <c r="H96" s="204"/>
      <c r="I96" s="205"/>
      <c r="J96" s="206"/>
      <c r="K96" s="204"/>
      <c r="L96" s="203">
        <f>+'Info general'!H22</f>
        <v>2215</v>
      </c>
      <c r="M96" s="205">
        <f>+'Info general'!H22+'Info general'!H32</f>
        <v>15065</v>
      </c>
      <c r="P96" s="43"/>
    </row>
    <row r="97" spans="1:16" x14ac:dyDescent="0.25">
      <c r="A97" s="201" t="s">
        <v>7</v>
      </c>
      <c r="B97" s="202" t="s">
        <v>229</v>
      </c>
      <c r="C97" s="202"/>
      <c r="D97" s="202"/>
      <c r="E97" s="202"/>
      <c r="F97" s="202"/>
      <c r="G97" s="203"/>
      <c r="H97" s="204">
        <f>+SUM(H11:H14)</f>
        <v>1725</v>
      </c>
      <c r="I97" s="205" t="s">
        <v>69</v>
      </c>
      <c r="J97" s="206"/>
      <c r="K97" s="204">
        <f t="shared" ref="K97:M97" si="81">+SUM(K11:K14)</f>
        <v>20700</v>
      </c>
      <c r="L97" s="203">
        <f t="shared" si="81"/>
        <v>20700</v>
      </c>
      <c r="M97" s="205">
        <f t="shared" si="81"/>
        <v>20700</v>
      </c>
      <c r="P97" s="43"/>
    </row>
    <row r="98" spans="1:16" x14ac:dyDescent="0.25">
      <c r="A98" s="201" t="s">
        <v>7</v>
      </c>
      <c r="B98" s="202" t="s">
        <v>230</v>
      </c>
      <c r="C98" s="202"/>
      <c r="D98" s="202"/>
      <c r="E98" s="202"/>
      <c r="F98" s="202"/>
      <c r="G98" s="203"/>
      <c r="H98" s="204">
        <f>H48-H97</f>
        <v>122013.33333333333</v>
      </c>
      <c r="I98" s="205" t="s">
        <v>69</v>
      </c>
      <c r="J98" s="206"/>
      <c r="K98" s="204">
        <f t="shared" ref="K98:M98" si="82">K48-K97</f>
        <v>1464160</v>
      </c>
      <c r="L98" s="203">
        <f t="shared" si="82"/>
        <v>1467160</v>
      </c>
      <c r="M98" s="205">
        <f t="shared" si="82"/>
        <v>1467160</v>
      </c>
      <c r="P98" s="43"/>
    </row>
    <row r="99" spans="1:16" x14ac:dyDescent="0.25">
      <c r="A99" s="201" t="s">
        <v>12</v>
      </c>
      <c r="B99" s="202" t="s">
        <v>231</v>
      </c>
      <c r="C99" s="202"/>
      <c r="D99" s="202"/>
      <c r="E99" s="202"/>
      <c r="F99" s="202"/>
      <c r="G99" s="203"/>
      <c r="H99" s="204">
        <f>+H84</f>
        <v>141225</v>
      </c>
      <c r="I99" s="205" t="s">
        <v>69</v>
      </c>
      <c r="J99" s="206"/>
      <c r="K99" s="204">
        <f t="shared" ref="K99:M99" si="83">+K84</f>
        <v>1694700</v>
      </c>
      <c r="L99" s="203">
        <f t="shared" si="83"/>
        <v>2251435</v>
      </c>
      <c r="M99" s="205">
        <f t="shared" si="83"/>
        <v>2251435</v>
      </c>
      <c r="P99" s="43"/>
    </row>
    <row r="100" spans="1:16" s="213" customFormat="1" ht="16.5" thickBot="1" x14ac:dyDescent="0.3">
      <c r="A100" s="207"/>
      <c r="B100" s="208" t="s">
        <v>67</v>
      </c>
      <c r="C100" s="208"/>
      <c r="D100" s="208"/>
      <c r="E100" s="208"/>
      <c r="F100" s="208"/>
      <c r="G100" s="209"/>
      <c r="H100" s="210">
        <f>H99-H98-H97-H95-H96</f>
        <v>17486.666666666672</v>
      </c>
      <c r="I100" s="211" t="s">
        <v>69</v>
      </c>
      <c r="J100" s="212"/>
      <c r="K100" s="210">
        <f>K99-K98-K97</f>
        <v>209840</v>
      </c>
      <c r="L100" s="209">
        <f>L99-L98-L97-L96-L95</f>
        <v>686860</v>
      </c>
      <c r="M100" s="211">
        <f>M99-M98-M97-M96-M95</f>
        <v>748510</v>
      </c>
      <c r="N100" s="50"/>
      <c r="P100" s="214"/>
    </row>
    <row r="101" spans="1:16" x14ac:dyDescent="0.25">
      <c r="J101" s="10"/>
    </row>
    <row r="102" spans="1:16" x14ac:dyDescent="0.25">
      <c r="J102" s="10"/>
    </row>
    <row r="103" spans="1:16" x14ac:dyDescent="0.25">
      <c r="J103" s="10"/>
    </row>
    <row r="104" spans="1:16" x14ac:dyDescent="0.25">
      <c r="A104" s="11"/>
      <c r="B104" s="11"/>
      <c r="J104" s="10"/>
    </row>
    <row r="105" spans="1:16" x14ac:dyDescent="0.25">
      <c r="A105" s="11"/>
      <c r="B105" s="11"/>
      <c r="J105" s="10"/>
    </row>
    <row r="106" spans="1:16" x14ac:dyDescent="0.25">
      <c r="A106" s="11"/>
      <c r="B106" s="11"/>
      <c r="J106" s="10"/>
    </row>
    <row r="107" spans="1:16" x14ac:dyDescent="0.25">
      <c r="A107" s="11"/>
      <c r="B107" s="11"/>
      <c r="J107" s="10"/>
    </row>
    <row r="108" spans="1:16" x14ac:dyDescent="0.25">
      <c r="A108" s="11"/>
      <c r="B108" s="11"/>
      <c r="J108" s="10"/>
    </row>
    <row r="109" spans="1:16" x14ac:dyDescent="0.25">
      <c r="B109" s="11"/>
      <c r="J109" s="10"/>
    </row>
    <row r="110" spans="1:16" x14ac:dyDescent="0.25">
      <c r="J110" s="10"/>
    </row>
    <row r="111" spans="1:16" x14ac:dyDescent="0.25">
      <c r="J111" s="10"/>
    </row>
    <row r="112" spans="1:16" x14ac:dyDescent="0.25">
      <c r="J112" s="10"/>
    </row>
    <row r="113" spans="10:10" x14ac:dyDescent="0.25">
      <c r="J113" s="10"/>
    </row>
    <row r="114" spans="10:10" x14ac:dyDescent="0.25">
      <c r="J114" s="10"/>
    </row>
    <row r="115" spans="10:10" x14ac:dyDescent="0.25">
      <c r="J115" s="10"/>
    </row>
    <row r="116" spans="10:10" x14ac:dyDescent="0.25">
      <c r="J116" s="10"/>
    </row>
  </sheetData>
  <mergeCells count="23">
    <mergeCell ref="B100:F100"/>
    <mergeCell ref="B95:F95"/>
    <mergeCell ref="B96:F96"/>
    <mergeCell ref="B97:F97"/>
    <mergeCell ref="B98:F98"/>
    <mergeCell ref="B99:F99"/>
    <mergeCell ref="A4:N4"/>
    <mergeCell ref="H8:I8"/>
    <mergeCell ref="H86:I86"/>
    <mergeCell ref="A94:G94"/>
    <mergeCell ref="H94:I94"/>
    <mergeCell ref="B91:F91"/>
    <mergeCell ref="A86:G86"/>
    <mergeCell ref="B87:F87"/>
    <mergeCell ref="B88:F88"/>
    <mergeCell ref="B89:F89"/>
    <mergeCell ref="B90:F90"/>
    <mergeCell ref="B84:F84"/>
    <mergeCell ref="A6:E6"/>
    <mergeCell ref="F6:G6"/>
    <mergeCell ref="A8:G8"/>
    <mergeCell ref="B48:F48"/>
    <mergeCell ref="A50:G50"/>
  </mergeCells>
  <pageMargins left="0.70866141732283472" right="0.70866141732283472" top="0.74803149606299213" bottom="0.74803149606299213" header="0.31496062992125984" footer="0.31496062992125984"/>
  <pageSetup paperSize="9" scale="76"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'Info general'!$J$7:$J$15</xm:f>
          </x14:formula1>
          <xm:sqref>F6:G6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636E4-53C0-4D83-9F00-F911335D5635}">
  <sheetPr>
    <pageSetUpPr fitToPage="1"/>
  </sheetPr>
  <dimension ref="A1:I89"/>
  <sheetViews>
    <sheetView topLeftCell="A3" zoomScale="85" zoomScaleNormal="85" workbookViewId="0">
      <selection activeCell="G15" sqref="G15"/>
    </sheetView>
  </sheetViews>
  <sheetFormatPr baseColWidth="10" defaultColWidth="10.85546875" defaultRowHeight="15" x14ac:dyDescent="0.25"/>
  <cols>
    <col min="1" max="1" width="46.5703125" style="102" customWidth="1"/>
    <col min="2" max="5" width="15.7109375" style="9" customWidth="1"/>
    <col min="6" max="6" width="31.42578125" style="66" customWidth="1"/>
    <col min="7" max="7" width="19.7109375" style="9" customWidth="1"/>
    <col min="8" max="16384" width="10.85546875" style="9"/>
  </cols>
  <sheetData>
    <row r="1" spans="1:8" ht="28.5" x14ac:dyDescent="0.25">
      <c r="A1" s="26" t="s">
        <v>177</v>
      </c>
      <c r="B1" s="5"/>
      <c r="C1" s="5"/>
      <c r="E1" s="78"/>
    </row>
    <row r="2" spans="1:8" x14ac:dyDescent="0.25">
      <c r="A2" s="1"/>
      <c r="B2" s="5"/>
      <c r="C2" s="5"/>
      <c r="E2" s="78"/>
    </row>
    <row r="3" spans="1:8" ht="18.75" x14ac:dyDescent="0.25">
      <c r="A3" s="27" t="s">
        <v>156</v>
      </c>
      <c r="E3" s="78"/>
    </row>
    <row r="4" spans="1:8" x14ac:dyDescent="0.25">
      <c r="A4" s="82"/>
      <c r="E4" s="78"/>
    </row>
    <row r="5" spans="1:8" ht="18.75" customHeight="1" x14ac:dyDescent="0.25">
      <c r="A5" s="83" t="s">
        <v>178</v>
      </c>
      <c r="B5" s="83"/>
      <c r="C5" s="83"/>
      <c r="D5" s="83"/>
      <c r="E5" s="83"/>
      <c r="F5" s="69"/>
      <c r="G5" s="38"/>
      <c r="H5" s="2"/>
    </row>
    <row r="6" spans="1:8" ht="18.75" customHeight="1" x14ac:dyDescent="0.25">
      <c r="A6" s="84"/>
      <c r="B6" s="14"/>
      <c r="C6" s="14"/>
      <c r="D6" s="14"/>
      <c r="E6" s="14"/>
      <c r="F6" s="67"/>
      <c r="G6" s="38"/>
      <c r="H6" s="2"/>
    </row>
    <row r="7" spans="1:8" ht="35.25" customHeight="1" x14ac:dyDescent="0.25">
      <c r="A7" s="85" t="s">
        <v>157</v>
      </c>
      <c r="B7" s="130" t="str">
        <f>'Info general'!C7</f>
        <v xml:space="preserve">Boutique / magasin de produits diverses, notamment produits alimentaires (denrées alimentaires de base, poisson et légumes), habilles, produits d’hygiène, vente de charbon et recharge téléphonique. </v>
      </c>
      <c r="C7" s="131"/>
      <c r="D7" s="131"/>
      <c r="E7" s="131"/>
      <c r="F7" s="132"/>
      <c r="G7" s="38"/>
    </row>
    <row r="8" spans="1:8" ht="18" customHeight="1" x14ac:dyDescent="0.25">
      <c r="A8" s="85" t="s">
        <v>179</v>
      </c>
      <c r="B8" s="133" t="str">
        <f>'Info general'!C8</f>
        <v>Club de mères - Msab Laweisi</v>
      </c>
      <c r="C8" s="134"/>
      <c r="D8" s="134"/>
      <c r="E8" s="134"/>
      <c r="F8" s="135"/>
      <c r="G8" s="38"/>
    </row>
    <row r="9" spans="1:8" s="3" customFormat="1" x14ac:dyDescent="0.25">
      <c r="A9" s="86" t="s">
        <v>36</v>
      </c>
      <c r="B9" s="72">
        <v>85000</v>
      </c>
      <c r="C9" s="87"/>
      <c r="D9" s="29"/>
      <c r="E9" s="29"/>
      <c r="F9" s="13"/>
      <c r="G9" s="38"/>
    </row>
    <row r="10" spans="1:8" s="3" customFormat="1" ht="15.75" x14ac:dyDescent="0.25">
      <c r="A10" s="88"/>
      <c r="B10" s="73"/>
      <c r="C10" s="73"/>
      <c r="D10" s="73"/>
      <c r="E10" s="73"/>
      <c r="F10" s="73"/>
      <c r="G10" s="38"/>
    </row>
    <row r="11" spans="1:8" ht="18.75" x14ac:dyDescent="0.25">
      <c r="A11" s="89" t="s">
        <v>180</v>
      </c>
      <c r="B11" s="77"/>
      <c r="C11" s="77"/>
      <c r="D11" s="77"/>
      <c r="E11" s="77"/>
      <c r="F11" s="69"/>
      <c r="G11" s="37"/>
    </row>
    <row r="12" spans="1:8" ht="14.45" customHeight="1" x14ac:dyDescent="0.25">
      <c r="A12" s="90" t="s">
        <v>2</v>
      </c>
      <c r="B12" s="6" t="s">
        <v>48</v>
      </c>
      <c r="C12" s="6" t="s">
        <v>3</v>
      </c>
      <c r="D12" s="6" t="s">
        <v>181</v>
      </c>
      <c r="E12" s="6" t="s">
        <v>182</v>
      </c>
      <c r="F12" s="91" t="s">
        <v>183</v>
      </c>
    </row>
    <row r="13" spans="1:8" x14ac:dyDescent="0.25">
      <c r="A13" s="92" t="str">
        <f>'Info general'!B16</f>
        <v>Construction boutique</v>
      </c>
      <c r="B13" s="80">
        <f>'Info general'!C16</f>
        <v>1</v>
      </c>
      <c r="C13" s="78" t="s">
        <v>141</v>
      </c>
      <c r="D13" s="32">
        <f>'Info general'!E16</f>
        <v>20500</v>
      </c>
      <c r="E13" s="32">
        <f t="shared" ref="E13" si="0">B13*D13</f>
        <v>20500</v>
      </c>
      <c r="F13" s="50" t="s">
        <v>184</v>
      </c>
      <c r="G13" s="2"/>
    </row>
    <row r="14" spans="1:8" x14ac:dyDescent="0.25">
      <c r="A14" s="92" t="str">
        <f>'Info general'!B17</f>
        <v>Amenagement boutique (etageres, tables)</v>
      </c>
      <c r="B14" s="80">
        <f>'Info general'!C17</f>
        <v>1</v>
      </c>
      <c r="C14" s="78" t="s">
        <v>141</v>
      </c>
      <c r="D14" s="32">
        <f>'Info general'!E17</f>
        <v>4000</v>
      </c>
      <c r="E14" s="32">
        <f t="shared" ref="E14:E17" si="1">B14*D14</f>
        <v>4000</v>
      </c>
      <c r="F14" s="50" t="s">
        <v>184</v>
      </c>
      <c r="G14" s="2"/>
    </row>
    <row r="15" spans="1:8" x14ac:dyDescent="0.25">
      <c r="A15" s="92" t="str">
        <f>'Info general'!B18</f>
        <v>Equipment (balance, nattes, nettoyage, etc.)</v>
      </c>
      <c r="B15" s="80">
        <f>'Info general'!C18</f>
        <v>1</v>
      </c>
      <c r="C15" s="78" t="s">
        <v>141</v>
      </c>
      <c r="D15" s="32">
        <f>'Info general'!E18</f>
        <v>3500</v>
      </c>
      <c r="E15" s="32">
        <f t="shared" si="1"/>
        <v>3500</v>
      </c>
      <c r="F15" s="50" t="s">
        <v>184</v>
      </c>
      <c r="G15" s="2"/>
    </row>
    <row r="16" spans="1:8" x14ac:dyDescent="0.25">
      <c r="A16" s="92" t="str">
        <f>'Info general'!B19</f>
        <v>Thermos 24l</v>
      </c>
      <c r="B16" s="80">
        <f>'Info general'!C19</f>
        <v>2</v>
      </c>
      <c r="C16" s="78" t="s">
        <v>141</v>
      </c>
      <c r="D16" s="32">
        <f>'Info general'!E19</f>
        <v>2200</v>
      </c>
      <c r="E16" s="32">
        <f t="shared" si="1"/>
        <v>4400</v>
      </c>
      <c r="F16" s="50" t="s">
        <v>184</v>
      </c>
      <c r="G16" s="2"/>
    </row>
    <row r="17" spans="1:7" ht="30" x14ac:dyDescent="0.25">
      <c r="A17" s="92" t="str">
        <f>'Info general'!B20</f>
        <v>Forfait démarrage (transport matériels, visites fournisseurs, etc.)</v>
      </c>
      <c r="B17" s="80">
        <f>'Info general'!C20</f>
        <v>1</v>
      </c>
      <c r="C17" s="78" t="s">
        <v>141</v>
      </c>
      <c r="D17" s="32">
        <f>'Info general'!E20</f>
        <v>2000</v>
      </c>
      <c r="E17" s="32">
        <f t="shared" si="1"/>
        <v>2000</v>
      </c>
      <c r="F17" s="50" t="s">
        <v>184</v>
      </c>
      <c r="G17" s="2"/>
    </row>
    <row r="18" spans="1:7" x14ac:dyDescent="0.25">
      <c r="A18" s="92"/>
      <c r="B18" s="80"/>
      <c r="C18" s="78"/>
      <c r="D18" s="32"/>
      <c r="E18" s="32"/>
      <c r="F18" s="50"/>
      <c r="G18" s="2"/>
    </row>
    <row r="19" spans="1:7" s="97" customFormat="1" ht="15.75" x14ac:dyDescent="0.25">
      <c r="A19" s="93" t="s">
        <v>185</v>
      </c>
      <c r="B19" s="94"/>
      <c r="C19" s="94"/>
      <c r="D19" s="94"/>
      <c r="E19" s="95">
        <f>SUM(E13:E18)</f>
        <v>34400</v>
      </c>
      <c r="F19" s="96" t="s">
        <v>69</v>
      </c>
    </row>
    <row r="20" spans="1:7" s="75" customFormat="1" x14ac:dyDescent="0.25">
      <c r="A20" s="74"/>
      <c r="B20" s="78"/>
      <c r="D20" s="76"/>
      <c r="E20" s="76"/>
      <c r="F20" s="98"/>
    </row>
    <row r="21" spans="1:7" ht="18.75" x14ac:dyDescent="0.25">
      <c r="A21" s="89" t="s">
        <v>186</v>
      </c>
      <c r="B21" s="77"/>
      <c r="C21" s="77"/>
      <c r="D21" s="77"/>
      <c r="E21" s="77"/>
      <c r="F21" s="69"/>
      <c r="G21" s="37"/>
    </row>
    <row r="22" spans="1:7" ht="14.45" customHeight="1" x14ac:dyDescent="0.25">
      <c r="A22" s="90" t="s">
        <v>33</v>
      </c>
      <c r="B22" s="6" t="s">
        <v>48</v>
      </c>
      <c r="C22" s="6" t="s">
        <v>3</v>
      </c>
      <c r="D22" s="6" t="s">
        <v>181</v>
      </c>
      <c r="E22" s="6" t="s">
        <v>182</v>
      </c>
      <c r="F22" s="91" t="s">
        <v>183</v>
      </c>
    </row>
    <row r="23" spans="1:7" x14ac:dyDescent="0.25">
      <c r="A23" s="99" t="s">
        <v>5</v>
      </c>
      <c r="B23" s="19"/>
      <c r="C23" s="19"/>
      <c r="D23" s="24"/>
      <c r="E23" s="100">
        <f>SUM(E24:E25)</f>
        <v>1600</v>
      </c>
      <c r="F23" s="101" t="s">
        <v>187</v>
      </c>
      <c r="G23" s="2"/>
    </row>
    <row r="24" spans="1:7" x14ac:dyDescent="0.25">
      <c r="A24" s="102" t="str">
        <f>'Plan economique (PAS)'!B12</f>
        <v>Loyer Charrette</v>
      </c>
      <c r="B24" s="78">
        <f>'Plan economique (PAS)'!C12</f>
        <v>8</v>
      </c>
      <c r="C24" s="78" t="str">
        <f>'Plan economique (PAS)'!D12</f>
        <v>trajet</v>
      </c>
      <c r="D24" s="32">
        <f>'Plan economique (PAS)'!E12</f>
        <v>200</v>
      </c>
      <c r="E24" s="32">
        <f>B24*D24</f>
        <v>1600</v>
      </c>
      <c r="F24" s="103" t="s">
        <v>187</v>
      </c>
    </row>
    <row r="25" spans="1:7" x14ac:dyDescent="0.25">
      <c r="B25" s="78"/>
      <c r="C25" s="78"/>
      <c r="D25" s="32"/>
      <c r="E25" s="32"/>
      <c r="F25" s="50"/>
      <c r="G25" s="29"/>
    </row>
    <row r="26" spans="1:7" x14ac:dyDescent="0.25">
      <c r="A26" s="22" t="s">
        <v>188</v>
      </c>
      <c r="B26" s="19"/>
      <c r="C26" s="19"/>
      <c r="D26" s="24"/>
      <c r="E26" s="100">
        <f>SUM(E27:E30)</f>
        <v>6150</v>
      </c>
      <c r="F26" s="104" t="s">
        <v>158</v>
      </c>
    </row>
    <row r="27" spans="1:7" x14ac:dyDescent="0.25">
      <c r="A27" s="102" t="str">
        <f>'Plan economique (PAS)'!B17</f>
        <v>Poisson (y compris la glace)</v>
      </c>
      <c r="B27" s="78">
        <f>'Plan economique (PAS)'!C17</f>
        <v>60</v>
      </c>
      <c r="C27" s="78" t="str">
        <f>'Plan economique (PAS)'!D17</f>
        <v>kg</v>
      </c>
      <c r="D27" s="32">
        <f>'Plan economique (PAS)'!E17</f>
        <v>35</v>
      </c>
      <c r="E27" s="32">
        <f>B27*D27</f>
        <v>2100</v>
      </c>
      <c r="F27" s="103" t="s">
        <v>158</v>
      </c>
    </row>
    <row r="28" spans="1:7" x14ac:dyDescent="0.25">
      <c r="A28" s="102" t="str">
        <f>'Plan economique (PAS)'!B18</f>
        <v>Légumes</v>
      </c>
      <c r="B28" s="78">
        <f>'Plan economique (PAS)'!C18</f>
        <v>90</v>
      </c>
      <c r="C28" s="78" t="str">
        <f>'Plan economique (PAS)'!D18</f>
        <v>kg</v>
      </c>
      <c r="D28" s="32">
        <f>'Plan economique (PAS)'!E18</f>
        <v>35</v>
      </c>
      <c r="E28" s="32">
        <f t="shared" ref="E28:E29" si="2">B28*D28</f>
        <v>3150</v>
      </c>
      <c r="F28" s="103" t="s">
        <v>158</v>
      </c>
    </row>
    <row r="29" spans="1:7" x14ac:dyDescent="0.25">
      <c r="A29" s="102" t="str">
        <f>'Plan economique (PAS)'!B19</f>
        <v>Transport poisson - Mbout</v>
      </c>
      <c r="B29" s="78">
        <f>'Plan economique (PAS)'!C19</f>
        <v>3</v>
      </c>
      <c r="C29" s="78" t="str">
        <f>'Plan economique (PAS)'!D19</f>
        <v>transport</v>
      </c>
      <c r="D29" s="32">
        <f>'Plan economique (PAS)'!E19</f>
        <v>300</v>
      </c>
      <c r="E29" s="32">
        <f t="shared" si="2"/>
        <v>900</v>
      </c>
      <c r="F29" s="103" t="s">
        <v>158</v>
      </c>
    </row>
    <row r="31" spans="1:7" x14ac:dyDescent="0.25">
      <c r="A31" s="22" t="s">
        <v>194</v>
      </c>
      <c r="B31" s="19"/>
      <c r="C31" s="19"/>
      <c r="D31" s="24"/>
      <c r="E31" s="100">
        <f>SUM(E32:E43)</f>
        <v>35645</v>
      </c>
      <c r="F31" s="104" t="s">
        <v>197</v>
      </c>
    </row>
    <row r="32" spans="1:7" x14ac:dyDescent="0.25">
      <c r="A32" s="102" t="str">
        <f>'Plan economique (PAS)'!B23</f>
        <v>Denrées alimentaires - sucre</v>
      </c>
      <c r="B32" s="78">
        <f>'Plan economique (PAS)'!C23/2</f>
        <v>5</v>
      </c>
      <c r="C32" s="78" t="str">
        <f>'Plan economique (PAS)'!D23</f>
        <v>sac 50 kg</v>
      </c>
      <c r="D32" s="32">
        <f>'Plan economique (PAS)'!E23</f>
        <v>1200</v>
      </c>
      <c r="E32" s="32">
        <f>B32*D32</f>
        <v>6000</v>
      </c>
      <c r="F32" s="103" t="s">
        <v>170</v>
      </c>
    </row>
    <row r="33" spans="1:6" x14ac:dyDescent="0.25">
      <c r="A33" s="102" t="str">
        <f>'Plan economique (PAS)'!B24</f>
        <v>Denrées alimentaires - huile</v>
      </c>
      <c r="B33" s="78">
        <f>'Plan economique (PAS)'!C24/2</f>
        <v>5</v>
      </c>
      <c r="C33" s="78" t="str">
        <f>'Plan economique (PAS)'!D24</f>
        <v>20 litres</v>
      </c>
      <c r="D33" s="32">
        <f>'Plan economique (PAS)'!E24</f>
        <v>950</v>
      </c>
      <c r="E33" s="32">
        <f t="shared" ref="E33:E42" si="3">B33*D33</f>
        <v>4750</v>
      </c>
      <c r="F33" s="103" t="s">
        <v>170</v>
      </c>
    </row>
    <row r="34" spans="1:6" x14ac:dyDescent="0.25">
      <c r="A34" s="102" t="str">
        <f>'Plan economique (PAS)'!B25</f>
        <v>Denrées alimentaires - pate (transport incl.)</v>
      </c>
      <c r="B34" s="78">
        <f>'Plan economique (PAS)'!C25/2</f>
        <v>5</v>
      </c>
      <c r="C34" s="78" t="str">
        <f>'Plan economique (PAS)'!D25</f>
        <v>10 kg</v>
      </c>
      <c r="D34" s="32">
        <f>'Plan economique (PAS)'!E25</f>
        <v>350</v>
      </c>
      <c r="E34" s="32">
        <f t="shared" si="3"/>
        <v>1750</v>
      </c>
      <c r="F34" s="103" t="s">
        <v>170</v>
      </c>
    </row>
    <row r="35" spans="1:6" x14ac:dyDescent="0.25">
      <c r="A35" s="102" t="str">
        <f>'Plan economique (PAS)'!B26</f>
        <v>Denrées alimentaires - riz</v>
      </c>
      <c r="B35" s="78">
        <f>'Plan economique (PAS)'!C26/2</f>
        <v>5</v>
      </c>
      <c r="C35" s="78" t="str">
        <f>'Plan economique (PAS)'!D26</f>
        <v>sac 50 kg</v>
      </c>
      <c r="D35" s="32">
        <f>'Plan economique (PAS)'!E26</f>
        <v>1400</v>
      </c>
      <c r="E35" s="32">
        <f t="shared" si="3"/>
        <v>7000</v>
      </c>
      <c r="F35" s="103" t="s">
        <v>170</v>
      </c>
    </row>
    <row r="36" spans="1:6" x14ac:dyDescent="0.25">
      <c r="A36" s="102" t="str">
        <f>'Plan economique (PAS)'!B27</f>
        <v>Denrées alimentaires - blé</v>
      </c>
      <c r="B36" s="78">
        <f>'Plan economique (PAS)'!C27/2</f>
        <v>10</v>
      </c>
      <c r="C36" s="78" t="str">
        <f>'Plan economique (PAS)'!D27</f>
        <v>sac 50 kg</v>
      </c>
      <c r="D36" s="32">
        <f>'Plan economique (PAS)'!E27</f>
        <v>650</v>
      </c>
      <c r="E36" s="32">
        <f t="shared" si="3"/>
        <v>6500</v>
      </c>
      <c r="F36" s="103" t="s">
        <v>170</v>
      </c>
    </row>
    <row r="37" spans="1:6" x14ac:dyDescent="0.25">
      <c r="A37" s="102" t="str">
        <f>'Plan economique (PAS)'!B28</f>
        <v>Denrées alimentaires - lait</v>
      </c>
      <c r="B37" s="78">
        <v>1</v>
      </c>
      <c r="C37" s="78" t="str">
        <f>'Plan economique (PAS)'!D28</f>
        <v>sac 25 kg</v>
      </c>
      <c r="D37" s="32">
        <f>'Plan economique (PAS)'!E28</f>
        <v>3750</v>
      </c>
      <c r="E37" s="32">
        <f t="shared" si="3"/>
        <v>3750</v>
      </c>
      <c r="F37" s="103" t="s">
        <v>170</v>
      </c>
    </row>
    <row r="38" spans="1:6" x14ac:dyDescent="0.25">
      <c r="A38" s="102" t="str">
        <f>'Plan economique (PAS)'!B29</f>
        <v>Denrées alimentaires - gloria (transport incl.)</v>
      </c>
      <c r="B38" s="78">
        <v>2</v>
      </c>
      <c r="C38" s="78" t="str">
        <f>'Plan economique (PAS)'!D29</f>
        <v>carton 96 ud</v>
      </c>
      <c r="D38" s="32">
        <f>'Plan economique (PAS)'!E29</f>
        <v>1000</v>
      </c>
      <c r="E38" s="32">
        <f t="shared" si="3"/>
        <v>2000</v>
      </c>
      <c r="F38" s="103" t="s">
        <v>170</v>
      </c>
    </row>
    <row r="39" spans="1:6" x14ac:dyDescent="0.25">
      <c r="A39" s="102" t="str">
        <f>'Plan economique (PAS)'!B30</f>
        <v>Denrées alimentaires - thé</v>
      </c>
      <c r="B39" s="78">
        <f>'Plan economique (PAS)'!C30/2</f>
        <v>5</v>
      </c>
      <c r="C39" s="78" t="str">
        <f>'Plan economique (PAS)'!D30</f>
        <v>kg</v>
      </c>
      <c r="D39" s="32">
        <f>'Plan economique (PAS)'!E30</f>
        <v>240</v>
      </c>
      <c r="E39" s="32">
        <f t="shared" si="3"/>
        <v>1200</v>
      </c>
      <c r="F39" s="103" t="s">
        <v>170</v>
      </c>
    </row>
    <row r="40" spans="1:6" x14ac:dyDescent="0.25">
      <c r="A40" s="102" t="str">
        <f>'Plan economique (PAS)'!B31</f>
        <v>Denrées alimentaires - OMO</v>
      </c>
      <c r="B40" s="78">
        <v>3</v>
      </c>
      <c r="C40" s="78" t="str">
        <f>'Plan economique (PAS)'!D31</f>
        <v>carton 75 ud</v>
      </c>
      <c r="D40" s="32">
        <f>'Plan economique (PAS)'!E31</f>
        <v>250</v>
      </c>
      <c r="E40" s="32">
        <f t="shared" si="3"/>
        <v>750</v>
      </c>
      <c r="F40" s="103" t="s">
        <v>170</v>
      </c>
    </row>
    <row r="41" spans="1:6" x14ac:dyDescent="0.25">
      <c r="A41" s="102" t="str">
        <f>'Plan economique (PAS)'!B32</f>
        <v>Denrées alimentaires - savon</v>
      </c>
      <c r="B41" s="78">
        <v>3</v>
      </c>
      <c r="C41" s="78" t="str">
        <f>'Plan economique (PAS)'!D32</f>
        <v>carton 18 ud</v>
      </c>
      <c r="D41" s="32">
        <f>'Plan economique (PAS)'!E32</f>
        <v>240</v>
      </c>
      <c r="E41" s="32">
        <f t="shared" si="3"/>
        <v>720</v>
      </c>
      <c r="F41" s="103" t="s">
        <v>170</v>
      </c>
    </row>
    <row r="42" spans="1:6" x14ac:dyDescent="0.25">
      <c r="A42" s="102" t="str">
        <f>'Plan economique (PAS)'!B33</f>
        <v>Transport denrées alimentaires</v>
      </c>
      <c r="B42" s="78">
        <v>1</v>
      </c>
      <c r="C42" s="78" t="str">
        <f>'Plan economique (PAS)'!D33</f>
        <v>forfait</v>
      </c>
      <c r="D42" s="32">
        <f>'Plan economique (PAS)'!E33/2</f>
        <v>1225</v>
      </c>
      <c r="E42" s="32">
        <f t="shared" si="3"/>
        <v>1225</v>
      </c>
      <c r="F42" s="103" t="s">
        <v>170</v>
      </c>
    </row>
    <row r="43" spans="1:6" x14ac:dyDescent="0.25">
      <c r="B43" s="78"/>
      <c r="C43" s="78"/>
      <c r="D43" s="32"/>
      <c r="E43" s="32"/>
      <c r="F43" s="103"/>
    </row>
    <row r="44" spans="1:6" x14ac:dyDescent="0.25">
      <c r="A44" s="22" t="s">
        <v>195</v>
      </c>
      <c r="B44" s="19"/>
      <c r="C44" s="19"/>
      <c r="D44" s="24"/>
      <c r="E44" s="100">
        <f>SUM(E45:E47)</f>
        <v>3950</v>
      </c>
      <c r="F44" s="104" t="s">
        <v>189</v>
      </c>
    </row>
    <row r="45" spans="1:6" x14ac:dyDescent="0.25">
      <c r="A45" s="102" t="str">
        <f>'Plan economique (PAS)'!B35</f>
        <v>Charbon</v>
      </c>
      <c r="B45" s="78">
        <f>'Plan economique (PAS)'!C35</f>
        <v>20</v>
      </c>
      <c r="C45" s="78" t="str">
        <f>'Plan economique (PAS)'!D35</f>
        <v>sac 50 kg</v>
      </c>
      <c r="D45" s="32">
        <f>'Plan economique (PAS)'!E35</f>
        <v>150</v>
      </c>
      <c r="E45" s="32">
        <f t="shared" ref="E45" si="4">B45*D45</f>
        <v>3000</v>
      </c>
      <c r="F45" s="103" t="s">
        <v>158</v>
      </c>
    </row>
    <row r="46" spans="1:6" x14ac:dyDescent="0.25">
      <c r="A46" s="102" t="str">
        <f>'Plan economique (PAS)'!B43</f>
        <v>Crédit telephonique</v>
      </c>
      <c r="B46" s="78">
        <f>'Plan economique (PAS)'!C43</f>
        <v>1</v>
      </c>
      <c r="C46" s="78" t="str">
        <f>'Plan economique (PAS)'!D43</f>
        <v>forfait</v>
      </c>
      <c r="D46" s="32">
        <f>'Plan economique (PAS)'!E43</f>
        <v>950</v>
      </c>
      <c r="E46" s="32">
        <f t="shared" ref="E46" si="5">B46*D46</f>
        <v>950</v>
      </c>
      <c r="F46" s="103" t="s">
        <v>158</v>
      </c>
    </row>
    <row r="47" spans="1:6" x14ac:dyDescent="0.25">
      <c r="B47" s="78"/>
      <c r="C47" s="78"/>
      <c r="D47" s="32"/>
      <c r="E47" s="32"/>
      <c r="F47" s="103"/>
    </row>
    <row r="48" spans="1:6" x14ac:dyDescent="0.25">
      <c r="A48" s="22" t="s">
        <v>196</v>
      </c>
      <c r="B48" s="19"/>
      <c r="C48" s="19"/>
      <c r="D48" s="24"/>
      <c r="E48" s="100">
        <f>SUM(E52:E55)</f>
        <v>1840</v>
      </c>
      <c r="F48" s="104" t="s">
        <v>189</v>
      </c>
    </row>
    <row r="49" spans="1:9" x14ac:dyDescent="0.25">
      <c r="A49" s="102" t="str">
        <f>'Plan economique (PAS)'!B36</f>
        <v>Vêtements - Voiles (dif. categories)</v>
      </c>
      <c r="B49" s="78">
        <f>'Plan economique (PAS)'!C36</f>
        <v>30</v>
      </c>
      <c r="C49" s="78" t="str">
        <f>'Plan economique (PAS)'!D36</f>
        <v>unités</v>
      </c>
      <c r="D49" s="32">
        <f>'Plan economique (PAS)'!E36</f>
        <v>130</v>
      </c>
      <c r="E49" s="32">
        <f t="shared" ref="E49" si="6">B49*D49</f>
        <v>3900</v>
      </c>
      <c r="F49" s="103" t="s">
        <v>158</v>
      </c>
    </row>
    <row r="50" spans="1:9" x14ac:dyDescent="0.25">
      <c r="A50" s="102" t="str">
        <f>'Plan economique (PAS)'!B37</f>
        <v>Vêtements - Robes</v>
      </c>
      <c r="B50" s="78">
        <f>'Plan economique (PAS)'!C37</f>
        <v>24</v>
      </c>
      <c r="C50" s="78" t="str">
        <f>'Plan economique (PAS)'!D37</f>
        <v>unités</v>
      </c>
      <c r="D50" s="32">
        <f>'Plan economique (PAS)'!E37</f>
        <v>200</v>
      </c>
      <c r="E50" s="32">
        <f t="shared" ref="E50" si="7">B50*D50</f>
        <v>4800</v>
      </c>
      <c r="F50" s="103" t="s">
        <v>158</v>
      </c>
    </row>
    <row r="51" spans="1:9" x14ac:dyDescent="0.25">
      <c r="A51" s="102" t="str">
        <f>'Plan economique (PAS)'!B38</f>
        <v>Vêtements - Vêtements enfants</v>
      </c>
      <c r="B51" s="78">
        <f>'Plan economique (PAS)'!C38</f>
        <v>24</v>
      </c>
      <c r="C51" s="78" t="str">
        <f>'Plan economique (PAS)'!D38</f>
        <v>unités</v>
      </c>
      <c r="D51" s="32">
        <f>'Plan economique (PAS)'!E38</f>
        <v>150</v>
      </c>
      <c r="E51" s="32">
        <f t="shared" ref="E51" si="8">B51*D51</f>
        <v>3600</v>
      </c>
      <c r="F51" s="103" t="s">
        <v>158</v>
      </c>
    </row>
    <row r="52" spans="1:9" x14ac:dyDescent="0.25">
      <c r="A52" s="102" t="str">
        <f>'Plan economique (PAS)'!B39</f>
        <v>Vêtements - Chaussures</v>
      </c>
      <c r="B52" s="78">
        <f>'Plan economique (PAS)'!C39</f>
        <v>12</v>
      </c>
      <c r="C52" s="78" t="str">
        <f>'Plan economique (PAS)'!D39</f>
        <v>unités</v>
      </c>
      <c r="D52" s="32">
        <f>'Plan economique (PAS)'!E39</f>
        <v>50</v>
      </c>
      <c r="E52" s="32">
        <f t="shared" ref="E52" si="9">B52*D52</f>
        <v>600</v>
      </c>
      <c r="F52" s="103" t="s">
        <v>158</v>
      </c>
    </row>
    <row r="53" spans="1:9" x14ac:dyDescent="0.25">
      <c r="A53" s="102" t="str">
        <f>'Plan economique (PAS)'!B40</f>
        <v>Vêtements - Chaussures enfants</v>
      </c>
      <c r="B53" s="78">
        <f>'Plan economique (PAS)'!C40</f>
        <v>12</v>
      </c>
      <c r="C53" s="78" t="str">
        <f>'Plan economique (PAS)'!D40</f>
        <v>unités</v>
      </c>
      <c r="D53" s="32">
        <f>'Plan economique (PAS)'!E40</f>
        <v>70</v>
      </c>
      <c r="E53" s="32">
        <f t="shared" ref="E53" si="10">B53*D53</f>
        <v>840</v>
      </c>
      <c r="F53" s="103" t="s">
        <v>158</v>
      </c>
    </row>
    <row r="54" spans="1:9" x14ac:dyDescent="0.25">
      <c r="A54" s="102" t="str">
        <f>'Plan economique (PAS)'!B41</f>
        <v>Transport Vêtements - Kaedi</v>
      </c>
      <c r="B54" s="78">
        <f>'Plan economique (PAS)'!C41</f>
        <v>1</v>
      </c>
      <c r="C54" s="78" t="str">
        <f>'Plan economique (PAS)'!D41</f>
        <v>transport</v>
      </c>
      <c r="D54" s="32">
        <f>'Plan economique (PAS)'!E41</f>
        <v>400</v>
      </c>
      <c r="E54" s="32">
        <f t="shared" ref="E54" si="11">B54*D54</f>
        <v>400</v>
      </c>
      <c r="F54" s="103" t="s">
        <v>158</v>
      </c>
    </row>
    <row r="55" spans="1:9" s="11" customFormat="1" x14ac:dyDescent="0.25">
      <c r="A55" s="102"/>
      <c r="B55" s="78"/>
      <c r="C55" s="78"/>
      <c r="D55" s="32"/>
      <c r="E55" s="32"/>
      <c r="F55" s="103"/>
    </row>
    <row r="56" spans="1:9" x14ac:dyDescent="0.25">
      <c r="A56" s="22" t="s">
        <v>190</v>
      </c>
      <c r="B56" s="19"/>
      <c r="C56" s="19"/>
      <c r="D56" s="24"/>
      <c r="E56" s="100">
        <f>E57</f>
        <v>1415</v>
      </c>
      <c r="F56" s="104"/>
    </row>
    <row r="57" spans="1:9" s="11" customFormat="1" x14ac:dyDescent="0.25">
      <c r="A57" s="102" t="s">
        <v>191</v>
      </c>
      <c r="B57" s="78">
        <f>'[1]Plan economique (PAS)'!C43</f>
        <v>1</v>
      </c>
      <c r="C57" s="78" t="str">
        <f>'[1]Plan economique (PAS)'!D43</f>
        <v>forfait</v>
      </c>
      <c r="D57" s="32">
        <v>1415</v>
      </c>
      <c r="E57" s="32">
        <f t="shared" ref="E57" si="12">B57*D57</f>
        <v>1415</v>
      </c>
      <c r="F57" s="103"/>
    </row>
    <row r="58" spans="1:9" x14ac:dyDescent="0.25">
      <c r="B58" s="78"/>
      <c r="C58" s="78"/>
      <c r="D58" s="32"/>
      <c r="E58" s="32"/>
      <c r="F58" s="50"/>
    </row>
    <row r="59" spans="1:9" s="97" customFormat="1" ht="15.75" x14ac:dyDescent="0.25">
      <c r="A59" s="93" t="s">
        <v>192</v>
      </c>
      <c r="B59" s="94"/>
      <c r="C59" s="94"/>
      <c r="D59" s="94"/>
      <c r="E59" s="95">
        <f>E48+E26+E23+E56+E44+E31</f>
        <v>50600</v>
      </c>
      <c r="F59" s="96"/>
    </row>
    <row r="60" spans="1:9" x14ac:dyDescent="0.25">
      <c r="A60" s="105"/>
      <c r="B60" s="3"/>
      <c r="C60" s="3"/>
      <c r="D60" s="3"/>
      <c r="G60" s="44"/>
      <c r="I60" s="45"/>
    </row>
    <row r="61" spans="1:9" ht="18.75" x14ac:dyDescent="0.25">
      <c r="A61" s="83" t="s">
        <v>70</v>
      </c>
      <c r="B61" s="83"/>
      <c r="C61" s="83"/>
      <c r="D61" s="83"/>
      <c r="E61" s="83"/>
      <c r="F61" s="83" t="s">
        <v>183</v>
      </c>
      <c r="G61" s="2"/>
      <c r="I61" s="45"/>
    </row>
    <row r="62" spans="1:9" x14ac:dyDescent="0.25">
      <c r="A62" s="106" t="str">
        <f>A19</f>
        <v>Total Investissement AGR couvert</v>
      </c>
      <c r="B62" s="106"/>
      <c r="C62" s="106"/>
      <c r="D62" s="106"/>
      <c r="E62" s="106">
        <f>E19</f>
        <v>34400</v>
      </c>
      <c r="F62" s="107" t="s">
        <v>184</v>
      </c>
      <c r="G62" s="44"/>
    </row>
    <row r="63" spans="1:9" x14ac:dyDescent="0.25">
      <c r="A63" s="106" t="str">
        <f>A23</f>
        <v>Coûts fixes</v>
      </c>
      <c r="B63" s="106"/>
      <c r="C63" s="106"/>
      <c r="D63" s="106"/>
      <c r="E63" s="108">
        <f>E23</f>
        <v>1600</v>
      </c>
      <c r="F63" s="107" t="s">
        <v>187</v>
      </c>
    </row>
    <row r="64" spans="1:9" s="102" customFormat="1" x14ac:dyDescent="0.25">
      <c r="A64" s="106" t="str">
        <f>A26</f>
        <v>Coûts variables. Vente de poisson et légumes, cycle hebdomadaire</v>
      </c>
      <c r="B64" s="106"/>
      <c r="C64" s="106"/>
      <c r="D64" s="106"/>
      <c r="E64" s="108">
        <f>E26</f>
        <v>6150</v>
      </c>
      <c r="F64" s="107" t="s">
        <v>158</v>
      </c>
    </row>
    <row r="65" spans="1:6" s="102" customFormat="1" x14ac:dyDescent="0.25">
      <c r="A65" s="106" t="str">
        <f>A31</f>
        <v>Coûts variables. Vente de denrées alimentaires et de produits d’hygiène, cycle mensuel</v>
      </c>
      <c r="B65" s="106"/>
      <c r="C65" s="106"/>
      <c r="D65" s="106"/>
      <c r="E65" s="108">
        <f>E31</f>
        <v>35645</v>
      </c>
      <c r="F65" s="107" t="s">
        <v>170</v>
      </c>
    </row>
    <row r="66" spans="1:6" s="102" customFormat="1" x14ac:dyDescent="0.25">
      <c r="A66" s="106" t="str">
        <f>A44</f>
        <v>Coûts variables. Vente de charbon et recharge telephonique, cycle mensuel</v>
      </c>
      <c r="B66" s="106"/>
      <c r="C66" s="106"/>
      <c r="D66" s="106"/>
      <c r="E66" s="108">
        <f>E44</f>
        <v>3950</v>
      </c>
      <c r="F66" s="107" t="s">
        <v>158</v>
      </c>
    </row>
    <row r="67" spans="1:6" s="102" customFormat="1" x14ac:dyDescent="0.25">
      <c r="A67" s="106" t="str">
        <f>A48</f>
        <v>Coûts variables. Vente d'habilles, cycle mensuel</v>
      </c>
      <c r="B67" s="106"/>
      <c r="C67" s="106"/>
      <c r="D67" s="106"/>
      <c r="E67" s="108">
        <f>E48</f>
        <v>1840</v>
      </c>
      <c r="F67" s="107" t="s">
        <v>158</v>
      </c>
    </row>
    <row r="68" spans="1:6" s="102" customFormat="1" x14ac:dyDescent="0.25">
      <c r="A68" s="106" t="str">
        <f>A56</f>
        <v>Autres</v>
      </c>
      <c r="B68" s="106"/>
      <c r="C68" s="106"/>
      <c r="D68" s="106"/>
      <c r="E68" s="108">
        <f t="shared" ref="E68" si="13">E56</f>
        <v>1415</v>
      </c>
      <c r="F68" s="107" t="s">
        <v>158</v>
      </c>
    </row>
    <row r="69" spans="1:6" s="102" customFormat="1" x14ac:dyDescent="0.25">
      <c r="A69" s="106"/>
      <c r="B69" s="106"/>
      <c r="C69" s="106"/>
      <c r="D69" s="106"/>
      <c r="E69" s="108"/>
      <c r="F69" s="109"/>
    </row>
    <row r="70" spans="1:6" s="97" customFormat="1" ht="15.75" x14ac:dyDescent="0.25">
      <c r="A70" s="93" t="s">
        <v>193</v>
      </c>
      <c r="B70" s="94"/>
      <c r="C70" s="94"/>
      <c r="D70" s="94"/>
      <c r="E70" s="95">
        <f>SUM(E62:E69)</f>
        <v>85000</v>
      </c>
      <c r="F70" s="96"/>
    </row>
    <row r="71" spans="1:6" x14ac:dyDescent="0.25">
      <c r="E71" s="43"/>
      <c r="F71" s="110"/>
    </row>
    <row r="73" spans="1:6" x14ac:dyDescent="0.25">
      <c r="A73" s="45"/>
      <c r="B73" s="45"/>
    </row>
    <row r="75" spans="1:6" x14ac:dyDescent="0.25">
      <c r="A75" s="45"/>
    </row>
    <row r="84" spans="1:1" x14ac:dyDescent="0.25">
      <c r="A84" s="92"/>
    </row>
    <row r="85" spans="1:1" x14ac:dyDescent="0.25">
      <c r="A85" s="92"/>
    </row>
    <row r="86" spans="1:1" x14ac:dyDescent="0.25">
      <c r="A86" s="92"/>
    </row>
    <row r="87" spans="1:1" x14ac:dyDescent="0.25">
      <c r="A87" s="92"/>
    </row>
    <row r="88" spans="1:1" x14ac:dyDescent="0.25">
      <c r="A88" s="92"/>
    </row>
    <row r="89" spans="1:1" x14ac:dyDescent="0.25">
      <c r="A89" s="92"/>
    </row>
  </sheetData>
  <mergeCells count="2">
    <mergeCell ref="B7:F7"/>
    <mergeCell ref="B8:F8"/>
  </mergeCells>
  <pageMargins left="0.70866141732283472" right="0.70866141732283472" top="0.74803149606299213" bottom="0.74803149606299213" header="0.31496062992125984" footer="0.31496062992125984"/>
  <pageSetup paperSize="9" scale="6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Info general</vt:lpstr>
      <vt:lpstr>Plan economique (PAS)</vt:lpstr>
      <vt:lpstr>Apport CRM</vt:lpstr>
      <vt:lpstr>'Apport CRM'!Área_de_impresión</vt:lpstr>
      <vt:lpstr>'Info general'!Área_de_impresión</vt:lpstr>
      <vt:lpstr>'Plan economique (PAS)'!Área_de_impresión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Pilar</dc:creator>
  <cp:lastModifiedBy>Gema Arranz</cp:lastModifiedBy>
  <cp:lastPrinted>2021-05-13T10:03:04Z</cp:lastPrinted>
  <dcterms:created xsi:type="dcterms:W3CDTF">2020-07-27T11:11:56Z</dcterms:created>
  <dcterms:modified xsi:type="dcterms:W3CDTF">2021-07-07T11:33:18Z</dcterms:modified>
</cp:coreProperties>
</file>