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_LRC\2. technical assistance\British RC SAHEL program\2. MAURITANIE clubs des meres\4. plan affaires\"/>
    </mc:Choice>
  </mc:AlternateContent>
  <xr:revisionPtr revIDLastSave="0" documentId="13_ncr:1_{27FFEFF7-03E9-4B6B-B2C6-AD20E95E4D81}" xr6:coauthVersionLast="36" xr6:coauthVersionMax="36" xr10:uidLastSave="{00000000-0000-0000-0000-000000000000}"/>
  <bookViews>
    <workbookView xWindow="0" yWindow="465" windowWidth="28800" windowHeight="17460" xr2:uid="{00000000-000D-0000-FFFF-FFFF00000000}"/>
  </bookViews>
  <sheets>
    <sheet name="Info general" sheetId="17" r:id="rId1"/>
    <sheet name="Plan economique (PAS)" sheetId="18" r:id="rId2"/>
    <sheet name="Plan economique (PAS) v2" sheetId="22" r:id="rId3"/>
    <sheet name="Apport CRM" sheetId="20" r:id="rId4"/>
  </sheets>
  <definedNames>
    <definedName name="_xlnm.Print_Area" localSheetId="3">'Apport CRM'!$A$1:$F$70</definedName>
    <definedName name="_xlnm.Print_Area" localSheetId="0">'Info general'!$A$1:$H$21</definedName>
    <definedName name="_xlnm.Print_Area" localSheetId="1">'Plan economique (PAS)'!$A$1:$M$90</definedName>
    <definedName name="_xlnm.Print_Area" localSheetId="2">'Plan economique (PAS) v2'!$A$1:$M$92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8" i="22" l="1"/>
  <c r="F16" i="17"/>
  <c r="H16" i="17"/>
  <c r="E17" i="17"/>
  <c r="F17" i="17"/>
  <c r="H17" i="17"/>
  <c r="F18" i="17"/>
  <c r="H18" i="17"/>
  <c r="H21" i="17"/>
  <c r="E25" i="17"/>
  <c r="F25" i="17"/>
  <c r="H25" i="17"/>
  <c r="F26" i="17"/>
  <c r="H26" i="17"/>
  <c r="F27" i="17"/>
  <c r="H27" i="17"/>
  <c r="H29" i="17"/>
  <c r="M97" i="22"/>
  <c r="L97" i="22"/>
  <c r="F29" i="17"/>
  <c r="L96" i="22"/>
  <c r="E19" i="17"/>
  <c r="F19" i="17"/>
  <c r="F21" i="17"/>
  <c r="K96" i="22"/>
  <c r="C54" i="22"/>
  <c r="G54" i="22"/>
  <c r="H54" i="22"/>
  <c r="M8" i="22"/>
  <c r="K54" i="22"/>
  <c r="L54" i="22"/>
  <c r="M54" i="22"/>
  <c r="C55" i="22"/>
  <c r="G55" i="22"/>
  <c r="H55" i="22"/>
  <c r="K55" i="22"/>
  <c r="L55" i="22"/>
  <c r="M55" i="22"/>
  <c r="C56" i="22"/>
  <c r="G56" i="22"/>
  <c r="H56" i="22"/>
  <c r="K56" i="22"/>
  <c r="L56" i="22"/>
  <c r="M56" i="22"/>
  <c r="C57" i="22"/>
  <c r="G57" i="22"/>
  <c r="H57" i="22"/>
  <c r="K57" i="22"/>
  <c r="L57" i="22"/>
  <c r="M57" i="22"/>
  <c r="C58" i="22"/>
  <c r="G58" i="22"/>
  <c r="H58" i="22"/>
  <c r="K58" i="22"/>
  <c r="L58" i="22"/>
  <c r="M58" i="22"/>
  <c r="C59" i="22"/>
  <c r="G59" i="22"/>
  <c r="H59" i="22"/>
  <c r="K59" i="22"/>
  <c r="L59" i="22"/>
  <c r="M59" i="22"/>
  <c r="C60" i="22"/>
  <c r="G60" i="22"/>
  <c r="H60" i="22"/>
  <c r="K60" i="22"/>
  <c r="L60" i="22"/>
  <c r="M60" i="22"/>
  <c r="C61" i="22"/>
  <c r="G61" i="22"/>
  <c r="H61" i="22"/>
  <c r="K61" i="22"/>
  <c r="L61" i="22"/>
  <c r="M61" i="22"/>
  <c r="C62" i="22"/>
  <c r="G62" i="22"/>
  <c r="H62" i="22"/>
  <c r="K62" i="22"/>
  <c r="L62" i="22"/>
  <c r="M62" i="22"/>
  <c r="C63" i="22"/>
  <c r="G63" i="22"/>
  <c r="H63" i="22"/>
  <c r="K63" i="22"/>
  <c r="L63" i="22"/>
  <c r="M63" i="22"/>
  <c r="C64" i="22"/>
  <c r="G64" i="22"/>
  <c r="H64" i="22"/>
  <c r="K64" i="22"/>
  <c r="L64" i="22"/>
  <c r="M64" i="22"/>
  <c r="C65" i="22"/>
  <c r="G65" i="22"/>
  <c r="H65" i="22"/>
  <c r="K65" i="22"/>
  <c r="L65" i="22"/>
  <c r="M65" i="22"/>
  <c r="C66" i="22"/>
  <c r="G66" i="22"/>
  <c r="H66" i="22"/>
  <c r="K66" i="22"/>
  <c r="L66" i="22"/>
  <c r="M66" i="22"/>
  <c r="C67" i="22"/>
  <c r="G67" i="22"/>
  <c r="H67" i="22"/>
  <c r="K67" i="22"/>
  <c r="L67" i="22"/>
  <c r="M67" i="22"/>
  <c r="G71" i="22"/>
  <c r="H71" i="22"/>
  <c r="K71" i="22"/>
  <c r="L71" i="22"/>
  <c r="M71" i="22"/>
  <c r="C72" i="22"/>
  <c r="G72" i="22"/>
  <c r="H72" i="22"/>
  <c r="K72" i="22"/>
  <c r="L72" i="22"/>
  <c r="M72" i="22"/>
  <c r="C73" i="22"/>
  <c r="G73" i="22"/>
  <c r="H73" i="22"/>
  <c r="K73" i="22"/>
  <c r="L73" i="22"/>
  <c r="M73" i="22"/>
  <c r="C74" i="22"/>
  <c r="G74" i="22"/>
  <c r="H74" i="22"/>
  <c r="K74" i="22"/>
  <c r="L74" i="22"/>
  <c r="M74" i="22"/>
  <c r="C75" i="22"/>
  <c r="G75" i="22"/>
  <c r="H75" i="22"/>
  <c r="K75" i="22"/>
  <c r="L75" i="22"/>
  <c r="M75" i="22"/>
  <c r="G19" i="22"/>
  <c r="H19" i="22"/>
  <c r="G20" i="22"/>
  <c r="H20" i="22"/>
  <c r="G21" i="22"/>
  <c r="H21" i="22"/>
  <c r="E78" i="22"/>
  <c r="G78" i="22"/>
  <c r="M78" i="22"/>
  <c r="G22" i="22"/>
  <c r="H22" i="22"/>
  <c r="G23" i="22"/>
  <c r="H23" i="22"/>
  <c r="G24" i="22"/>
  <c r="H24" i="22"/>
  <c r="G25" i="22"/>
  <c r="H25" i="22"/>
  <c r="G26" i="22"/>
  <c r="H26" i="22"/>
  <c r="G27" i="22"/>
  <c r="H27" i="22"/>
  <c r="G28" i="22"/>
  <c r="H28" i="22"/>
  <c r="G29" i="22"/>
  <c r="H29" i="22"/>
  <c r="E30" i="22"/>
  <c r="G30" i="22"/>
  <c r="H30" i="22"/>
  <c r="G31" i="22"/>
  <c r="H31" i="22"/>
  <c r="G32" i="22"/>
  <c r="H32" i="22"/>
  <c r="G33" i="22"/>
  <c r="H33" i="22"/>
  <c r="E35" i="22"/>
  <c r="G35" i="22"/>
  <c r="H35" i="22"/>
  <c r="E79" i="22"/>
  <c r="G79" i="22"/>
  <c r="L79" i="22"/>
  <c r="M79" i="22"/>
  <c r="C68" i="22"/>
  <c r="G68" i="22"/>
  <c r="H68" i="22"/>
  <c r="G34" i="22"/>
  <c r="H34" i="22"/>
  <c r="E80" i="22"/>
  <c r="G80" i="22"/>
  <c r="L80" i="22"/>
  <c r="M80" i="22"/>
  <c r="G39" i="22"/>
  <c r="G40" i="22"/>
  <c r="E41" i="22"/>
  <c r="G41" i="22"/>
  <c r="G42" i="22"/>
  <c r="G43" i="22"/>
  <c r="E44" i="22"/>
  <c r="G44" i="22"/>
  <c r="E81" i="22"/>
  <c r="G81" i="22"/>
  <c r="L81" i="22"/>
  <c r="M81" i="22"/>
  <c r="G82" i="22"/>
  <c r="L82" i="22"/>
  <c r="M82" i="22"/>
  <c r="G83" i="22"/>
  <c r="M83" i="22"/>
  <c r="M85" i="22"/>
  <c r="M100" i="22"/>
  <c r="G13" i="22"/>
  <c r="H13" i="22"/>
  <c r="K13" i="22"/>
  <c r="L13" i="22"/>
  <c r="M13" i="22"/>
  <c r="G14" i="22"/>
  <c r="K14" i="22"/>
  <c r="L14" i="22"/>
  <c r="M14" i="22"/>
  <c r="C15" i="22"/>
  <c r="G15" i="22"/>
  <c r="K15" i="22"/>
  <c r="L15" i="22"/>
  <c r="M15" i="22"/>
  <c r="M98" i="22"/>
  <c r="K17" i="22"/>
  <c r="L17" i="22"/>
  <c r="M17" i="22"/>
  <c r="K19" i="22"/>
  <c r="L19" i="22"/>
  <c r="M19" i="22"/>
  <c r="K20" i="22"/>
  <c r="L20" i="22"/>
  <c r="M20" i="22"/>
  <c r="K21" i="22"/>
  <c r="L21" i="22"/>
  <c r="M21" i="22"/>
  <c r="K22" i="22"/>
  <c r="L22" i="22"/>
  <c r="M22" i="22"/>
  <c r="K23" i="22"/>
  <c r="L23" i="22"/>
  <c r="M23" i="22"/>
  <c r="K24" i="22"/>
  <c r="L24" i="22"/>
  <c r="M24" i="22"/>
  <c r="K25" i="22"/>
  <c r="L25" i="22"/>
  <c r="M25" i="22"/>
  <c r="K26" i="22"/>
  <c r="L26" i="22"/>
  <c r="M26" i="22"/>
  <c r="K27" i="22"/>
  <c r="L27" i="22"/>
  <c r="M27" i="22"/>
  <c r="K28" i="22"/>
  <c r="L28" i="22"/>
  <c r="M28" i="22"/>
  <c r="K29" i="22"/>
  <c r="L29" i="22"/>
  <c r="M29" i="22"/>
  <c r="K30" i="22"/>
  <c r="L30" i="22"/>
  <c r="M30" i="22"/>
  <c r="K31" i="22"/>
  <c r="L31" i="22"/>
  <c r="M31" i="22"/>
  <c r="K32" i="22"/>
  <c r="L32" i="22"/>
  <c r="M32" i="22"/>
  <c r="K33" i="22"/>
  <c r="L33" i="22"/>
  <c r="M33" i="22"/>
  <c r="K34" i="22"/>
  <c r="L34" i="22"/>
  <c r="M34" i="22"/>
  <c r="K35" i="22"/>
  <c r="L35" i="22"/>
  <c r="M35" i="22"/>
  <c r="G38" i="22"/>
  <c r="H38" i="22"/>
  <c r="K38" i="22"/>
  <c r="L38" i="22"/>
  <c r="M38" i="22"/>
  <c r="H39" i="22"/>
  <c r="K39" i="22"/>
  <c r="L39" i="22"/>
  <c r="M39" i="22"/>
  <c r="H40" i="22"/>
  <c r="K40" i="22"/>
  <c r="L40" i="22"/>
  <c r="M40" i="22"/>
  <c r="H41" i="22"/>
  <c r="K41" i="22"/>
  <c r="L41" i="22"/>
  <c r="M41" i="22"/>
  <c r="H42" i="22"/>
  <c r="K42" i="22"/>
  <c r="L42" i="22"/>
  <c r="M42" i="22"/>
  <c r="H43" i="22"/>
  <c r="K43" i="22"/>
  <c r="L43" i="22"/>
  <c r="M43" i="22"/>
  <c r="H44" i="22"/>
  <c r="K44" i="22"/>
  <c r="L44" i="22"/>
  <c r="M44" i="22"/>
  <c r="L47" i="22"/>
  <c r="M47" i="22"/>
  <c r="M49" i="22"/>
  <c r="M99" i="22"/>
  <c r="M101" i="22"/>
  <c r="L85" i="22"/>
  <c r="L100" i="22"/>
  <c r="L98" i="22"/>
  <c r="L49" i="22"/>
  <c r="L99" i="22"/>
  <c r="L101" i="22"/>
  <c r="K78" i="22"/>
  <c r="K79" i="22"/>
  <c r="K80" i="22"/>
  <c r="K81" i="22"/>
  <c r="K82" i="22"/>
  <c r="K83" i="22"/>
  <c r="K85" i="22"/>
  <c r="K100" i="22"/>
  <c r="K98" i="22"/>
  <c r="K49" i="22"/>
  <c r="K99" i="22"/>
  <c r="K101" i="22"/>
  <c r="H85" i="22"/>
  <c r="H100" i="22"/>
  <c r="H14" i="22"/>
  <c r="H15" i="22"/>
  <c r="H98" i="22"/>
  <c r="H49" i="22"/>
  <c r="H99" i="22"/>
  <c r="H101" i="22"/>
  <c r="M95" i="18"/>
  <c r="L95" i="18"/>
  <c r="L94" i="18"/>
  <c r="K94" i="18"/>
  <c r="C52" i="18"/>
  <c r="G52" i="18"/>
  <c r="H52" i="18"/>
  <c r="M6" i="18"/>
  <c r="K52" i="18"/>
  <c r="L52" i="18"/>
  <c r="M52" i="18"/>
  <c r="C53" i="18"/>
  <c r="G53" i="18"/>
  <c r="H53" i="18"/>
  <c r="K53" i="18"/>
  <c r="L53" i="18"/>
  <c r="M53" i="18"/>
  <c r="C54" i="18"/>
  <c r="G54" i="18"/>
  <c r="H54" i="18"/>
  <c r="K54" i="18"/>
  <c r="L54" i="18"/>
  <c r="M54" i="18"/>
  <c r="C55" i="18"/>
  <c r="G55" i="18"/>
  <c r="H55" i="18"/>
  <c r="K55" i="18"/>
  <c r="L55" i="18"/>
  <c r="M55" i="18"/>
  <c r="C56" i="18"/>
  <c r="G56" i="18"/>
  <c r="H56" i="18"/>
  <c r="K56" i="18"/>
  <c r="L56" i="18"/>
  <c r="M56" i="18"/>
  <c r="C57" i="18"/>
  <c r="G57" i="18"/>
  <c r="H57" i="18"/>
  <c r="K57" i="18"/>
  <c r="L57" i="18"/>
  <c r="M57" i="18"/>
  <c r="C58" i="18"/>
  <c r="G58" i="18"/>
  <c r="H58" i="18"/>
  <c r="K58" i="18"/>
  <c r="L58" i="18"/>
  <c r="M58" i="18"/>
  <c r="C59" i="18"/>
  <c r="G59" i="18"/>
  <c r="H59" i="18"/>
  <c r="K59" i="18"/>
  <c r="L59" i="18"/>
  <c r="M59" i="18"/>
  <c r="C60" i="18"/>
  <c r="G60" i="18"/>
  <c r="H60" i="18"/>
  <c r="K60" i="18"/>
  <c r="L60" i="18"/>
  <c r="M60" i="18"/>
  <c r="C61" i="18"/>
  <c r="G61" i="18"/>
  <c r="H61" i="18"/>
  <c r="K61" i="18"/>
  <c r="L61" i="18"/>
  <c r="M61" i="18"/>
  <c r="C62" i="18"/>
  <c r="G62" i="18"/>
  <c r="H62" i="18"/>
  <c r="K62" i="18"/>
  <c r="L62" i="18"/>
  <c r="M62" i="18"/>
  <c r="C63" i="18"/>
  <c r="G63" i="18"/>
  <c r="H63" i="18"/>
  <c r="K63" i="18"/>
  <c r="L63" i="18"/>
  <c r="M63" i="18"/>
  <c r="C64" i="18"/>
  <c r="G64" i="18"/>
  <c r="H64" i="18"/>
  <c r="K64" i="18"/>
  <c r="L64" i="18"/>
  <c r="M64" i="18"/>
  <c r="C65" i="18"/>
  <c r="G65" i="18"/>
  <c r="H65" i="18"/>
  <c r="K65" i="18"/>
  <c r="L65" i="18"/>
  <c r="M65" i="18"/>
  <c r="G69" i="18"/>
  <c r="H69" i="18"/>
  <c r="K69" i="18"/>
  <c r="L69" i="18"/>
  <c r="M69" i="18"/>
  <c r="C70" i="18"/>
  <c r="G70" i="18"/>
  <c r="H70" i="18"/>
  <c r="K70" i="18"/>
  <c r="L70" i="18"/>
  <c r="M70" i="18"/>
  <c r="C71" i="18"/>
  <c r="G71" i="18"/>
  <c r="H71" i="18"/>
  <c r="K71" i="18"/>
  <c r="L71" i="18"/>
  <c r="M71" i="18"/>
  <c r="C72" i="18"/>
  <c r="G72" i="18"/>
  <c r="H72" i="18"/>
  <c r="K72" i="18"/>
  <c r="L72" i="18"/>
  <c r="M72" i="18"/>
  <c r="C73" i="18"/>
  <c r="G73" i="18"/>
  <c r="H73" i="18"/>
  <c r="K73" i="18"/>
  <c r="L73" i="18"/>
  <c r="M73" i="18"/>
  <c r="G17" i="18"/>
  <c r="H17" i="18"/>
  <c r="G18" i="18"/>
  <c r="H18" i="18"/>
  <c r="G19" i="18"/>
  <c r="H19" i="18"/>
  <c r="E76" i="18"/>
  <c r="G76" i="18"/>
  <c r="L76" i="18"/>
  <c r="M76" i="18"/>
  <c r="G20" i="18"/>
  <c r="H20" i="18"/>
  <c r="G21" i="18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E28" i="18"/>
  <c r="G28" i="18"/>
  <c r="H28" i="18"/>
  <c r="G29" i="18"/>
  <c r="H29" i="18"/>
  <c r="G30" i="18"/>
  <c r="H30" i="18"/>
  <c r="G31" i="18"/>
  <c r="H31" i="18"/>
  <c r="C66" i="18"/>
  <c r="E33" i="18"/>
  <c r="G33" i="18"/>
  <c r="H33" i="18"/>
  <c r="E77" i="18"/>
  <c r="G77" i="18"/>
  <c r="L77" i="18"/>
  <c r="M77" i="18"/>
  <c r="G66" i="18"/>
  <c r="H66" i="18"/>
  <c r="G32" i="18"/>
  <c r="H32" i="18"/>
  <c r="E78" i="18"/>
  <c r="G78" i="18"/>
  <c r="L78" i="18"/>
  <c r="M78" i="18"/>
  <c r="G37" i="18"/>
  <c r="G38" i="18"/>
  <c r="E39" i="18"/>
  <c r="G39" i="18"/>
  <c r="G40" i="18"/>
  <c r="G41" i="18"/>
  <c r="E42" i="18"/>
  <c r="G42" i="18"/>
  <c r="E79" i="18"/>
  <c r="G79" i="18"/>
  <c r="L79" i="18"/>
  <c r="M79" i="18"/>
  <c r="G80" i="18"/>
  <c r="L80" i="18"/>
  <c r="M80" i="18"/>
  <c r="G81" i="18"/>
  <c r="M81" i="18"/>
  <c r="M83" i="18"/>
  <c r="M98" i="18"/>
  <c r="L83" i="18"/>
  <c r="L98" i="18"/>
  <c r="K76" i="18"/>
  <c r="K77" i="18"/>
  <c r="K78" i="18"/>
  <c r="K79" i="18"/>
  <c r="K80" i="18"/>
  <c r="K81" i="18"/>
  <c r="K83" i="18"/>
  <c r="K98" i="18"/>
  <c r="G11" i="18"/>
  <c r="H11" i="18"/>
  <c r="K11" i="18"/>
  <c r="L11" i="18"/>
  <c r="M11" i="18"/>
  <c r="G12" i="18"/>
  <c r="K12" i="18"/>
  <c r="L12" i="18"/>
  <c r="M12" i="18"/>
  <c r="C13" i="18"/>
  <c r="G13" i="18"/>
  <c r="K13" i="18"/>
  <c r="L13" i="18"/>
  <c r="M13" i="18"/>
  <c r="M96" i="18"/>
  <c r="K15" i="18"/>
  <c r="L15" i="18"/>
  <c r="M15" i="18"/>
  <c r="K17" i="18"/>
  <c r="L17" i="18"/>
  <c r="M17" i="18"/>
  <c r="K18" i="18"/>
  <c r="L18" i="18"/>
  <c r="M18" i="18"/>
  <c r="K19" i="18"/>
  <c r="L19" i="18"/>
  <c r="M19" i="18"/>
  <c r="K20" i="18"/>
  <c r="L20" i="18"/>
  <c r="M20" i="18"/>
  <c r="K21" i="18"/>
  <c r="L21" i="18"/>
  <c r="M21" i="18"/>
  <c r="K22" i="18"/>
  <c r="L22" i="18"/>
  <c r="M22" i="18"/>
  <c r="K23" i="18"/>
  <c r="L23" i="18"/>
  <c r="M23" i="18"/>
  <c r="K24" i="18"/>
  <c r="L24" i="18"/>
  <c r="M24" i="18"/>
  <c r="K25" i="18"/>
  <c r="L25" i="18"/>
  <c r="M25" i="18"/>
  <c r="K26" i="18"/>
  <c r="L26" i="18"/>
  <c r="M26" i="18"/>
  <c r="K27" i="18"/>
  <c r="L27" i="18"/>
  <c r="M27" i="18"/>
  <c r="K28" i="18"/>
  <c r="L28" i="18"/>
  <c r="M28" i="18"/>
  <c r="K29" i="18"/>
  <c r="L29" i="18"/>
  <c r="M29" i="18"/>
  <c r="K30" i="18"/>
  <c r="L30" i="18"/>
  <c r="M30" i="18"/>
  <c r="K31" i="18"/>
  <c r="L31" i="18"/>
  <c r="M31" i="18"/>
  <c r="K32" i="18"/>
  <c r="L32" i="18"/>
  <c r="M32" i="18"/>
  <c r="K33" i="18"/>
  <c r="L33" i="18"/>
  <c r="M33" i="18"/>
  <c r="G36" i="18"/>
  <c r="H36" i="18"/>
  <c r="K36" i="18"/>
  <c r="L36" i="18"/>
  <c r="M36" i="18"/>
  <c r="H37" i="18"/>
  <c r="K37" i="18"/>
  <c r="L37" i="18"/>
  <c r="M37" i="18"/>
  <c r="H38" i="18"/>
  <c r="K38" i="18"/>
  <c r="L38" i="18"/>
  <c r="M38" i="18"/>
  <c r="H39" i="18"/>
  <c r="K39" i="18"/>
  <c r="L39" i="18"/>
  <c r="M39" i="18"/>
  <c r="H40" i="18"/>
  <c r="K40" i="18"/>
  <c r="L40" i="18"/>
  <c r="M40" i="18"/>
  <c r="H41" i="18"/>
  <c r="K41" i="18"/>
  <c r="L41" i="18"/>
  <c r="M41" i="18"/>
  <c r="H42" i="18"/>
  <c r="K42" i="18"/>
  <c r="L42" i="18"/>
  <c r="M42" i="18"/>
  <c r="L45" i="18"/>
  <c r="M45" i="18"/>
  <c r="M47" i="18"/>
  <c r="M97" i="18"/>
  <c r="L96" i="18"/>
  <c r="L47" i="18"/>
  <c r="L97" i="18"/>
  <c r="K96" i="18"/>
  <c r="K47" i="18"/>
  <c r="K97" i="18"/>
  <c r="H83" i="18"/>
  <c r="H98" i="18"/>
  <c r="H12" i="18"/>
  <c r="H13" i="18"/>
  <c r="H47" i="18"/>
  <c r="H96" i="18"/>
  <c r="H97" i="18"/>
  <c r="H99" i="18"/>
  <c r="M99" i="18"/>
  <c r="L99" i="18"/>
  <c r="K99" i="18"/>
  <c r="M91" i="22"/>
  <c r="L91" i="22"/>
  <c r="D55" i="22"/>
  <c r="D54" i="22"/>
  <c r="H88" i="22"/>
  <c r="H89" i="22"/>
  <c r="K89" i="22"/>
  <c r="K88" i="22"/>
  <c r="H90" i="22"/>
  <c r="H92" i="22"/>
  <c r="K90" i="22"/>
  <c r="K92" i="22"/>
  <c r="L89" i="22"/>
  <c r="M89" i="22"/>
  <c r="M88" i="22"/>
  <c r="L88" i="22"/>
  <c r="M90" i="22"/>
  <c r="M92" i="22"/>
  <c r="L90" i="22"/>
  <c r="L92" i="22"/>
  <c r="M89" i="18"/>
  <c r="B38" i="20"/>
  <c r="B35" i="20"/>
  <c r="B36" i="20"/>
  <c r="B37" i="20"/>
  <c r="B47" i="20"/>
  <c r="B48" i="20"/>
  <c r="B49" i="20"/>
  <c r="B50" i="20"/>
  <c r="B51" i="20"/>
  <c r="D15" i="20"/>
  <c r="B15" i="20"/>
  <c r="A15" i="20"/>
  <c r="A64" i="20"/>
  <c r="A63" i="20"/>
  <c r="A48" i="20"/>
  <c r="C48" i="20"/>
  <c r="D48" i="20"/>
  <c r="A49" i="20"/>
  <c r="C49" i="20"/>
  <c r="D49" i="20"/>
  <c r="A50" i="20"/>
  <c r="C50" i="20"/>
  <c r="A51" i="20"/>
  <c r="C51" i="20"/>
  <c r="D51" i="20"/>
  <c r="A52" i="20"/>
  <c r="B52" i="20"/>
  <c r="C52" i="20"/>
  <c r="D52" i="20"/>
  <c r="C47" i="20"/>
  <c r="A47" i="20"/>
  <c r="A26" i="20"/>
  <c r="B26" i="20"/>
  <c r="C26" i="20"/>
  <c r="D26" i="20"/>
  <c r="A27" i="20"/>
  <c r="B27" i="20"/>
  <c r="C27" i="20"/>
  <c r="D27" i="20"/>
  <c r="A30" i="20"/>
  <c r="B30" i="20"/>
  <c r="C30" i="20"/>
  <c r="D30" i="20"/>
  <c r="A31" i="20"/>
  <c r="C31" i="20"/>
  <c r="D31" i="20"/>
  <c r="A32" i="20"/>
  <c r="C32" i="20"/>
  <c r="D32" i="20"/>
  <c r="A33" i="20"/>
  <c r="B33" i="20"/>
  <c r="C33" i="20"/>
  <c r="D33" i="20"/>
  <c r="A34" i="20"/>
  <c r="B34" i="20"/>
  <c r="C34" i="20"/>
  <c r="D34" i="20"/>
  <c r="A35" i="20"/>
  <c r="C35" i="20"/>
  <c r="D35" i="20"/>
  <c r="A36" i="20"/>
  <c r="C36" i="20"/>
  <c r="D36" i="20"/>
  <c r="A37" i="20"/>
  <c r="C37" i="20"/>
  <c r="D37" i="20"/>
  <c r="A38" i="20"/>
  <c r="C38" i="20"/>
  <c r="A39" i="20"/>
  <c r="B39" i="20"/>
  <c r="C39" i="20"/>
  <c r="D39" i="20"/>
  <c r="A40" i="20"/>
  <c r="B40" i="20"/>
  <c r="C40" i="20"/>
  <c r="D40" i="20"/>
  <c r="A41" i="20"/>
  <c r="C41" i="20"/>
  <c r="D41" i="20"/>
  <c r="E41" i="20"/>
  <c r="A44" i="20"/>
  <c r="B44" i="20"/>
  <c r="C44" i="20"/>
  <c r="D44" i="20"/>
  <c r="B25" i="20"/>
  <c r="C25" i="20"/>
  <c r="D25" i="20"/>
  <c r="A25" i="20"/>
  <c r="B22" i="20"/>
  <c r="C22" i="20"/>
  <c r="D22" i="20"/>
  <c r="A22" i="20"/>
  <c r="B8" i="20"/>
  <c r="B7" i="20"/>
  <c r="A13" i="20"/>
  <c r="B13" i="20"/>
  <c r="A14" i="20"/>
  <c r="B14" i="20"/>
  <c r="D14" i="20"/>
  <c r="A66" i="20"/>
  <c r="A65" i="20"/>
  <c r="A62" i="20"/>
  <c r="A61" i="20"/>
  <c r="A60" i="20"/>
  <c r="E15" i="20"/>
  <c r="E52" i="20"/>
  <c r="E48" i="20"/>
  <c r="E51" i="20"/>
  <c r="E40" i="20"/>
  <c r="E32" i="20"/>
  <c r="E39" i="20"/>
  <c r="E37" i="20"/>
  <c r="E35" i="20"/>
  <c r="E33" i="20"/>
  <c r="E31" i="20"/>
  <c r="E44" i="20"/>
  <c r="E43" i="20"/>
  <c r="E64" i="20"/>
  <c r="E36" i="20"/>
  <c r="E34" i="20"/>
  <c r="E30" i="20"/>
  <c r="E49" i="20"/>
  <c r="E25" i="20"/>
  <c r="E27" i="20"/>
  <c r="E14" i="20"/>
  <c r="E26" i="20"/>
  <c r="E55" i="20"/>
  <c r="E54" i="20"/>
  <c r="E66" i="20"/>
  <c r="E47" i="20"/>
  <c r="E22" i="20"/>
  <c r="D38" i="20"/>
  <c r="E38" i="20"/>
  <c r="D50" i="20"/>
  <c r="E50" i="20"/>
  <c r="D13" i="20"/>
  <c r="E13" i="20"/>
  <c r="D53" i="18"/>
  <c r="D52" i="18"/>
  <c r="E17" i="20"/>
  <c r="E60" i="20"/>
  <c r="E29" i="20"/>
  <c r="E46" i="20"/>
  <c r="E24" i="20"/>
  <c r="E21" i="20"/>
  <c r="E61" i="20"/>
  <c r="H87" i="18"/>
  <c r="K87" i="18"/>
  <c r="L89" i="18"/>
  <c r="E63" i="20"/>
  <c r="E57" i="20"/>
  <c r="E65" i="20"/>
  <c r="K86" i="18"/>
  <c r="K88" i="18"/>
  <c r="K90" i="18"/>
  <c r="L86" i="18"/>
  <c r="H86" i="18"/>
  <c r="H88" i="18"/>
  <c r="H90" i="18"/>
  <c r="M87" i="18"/>
  <c r="L87" i="18"/>
  <c r="M86" i="18"/>
  <c r="M88" i="18"/>
  <c r="M90" i="18"/>
  <c r="E62" i="20"/>
  <c r="E68" i="20"/>
  <c r="L88" i="18"/>
  <c r="L90" i="18"/>
</calcChain>
</file>

<file path=xl/sharedStrings.xml><?xml version="1.0" encoding="utf-8"?>
<sst xmlns="http://schemas.openxmlformats.org/spreadsheetml/2006/main" count="933" uniqueCount="242">
  <si>
    <t>TOTAL</t>
  </si>
  <si>
    <t>Total</t>
  </si>
  <si>
    <t>Type d'investissement</t>
  </si>
  <si>
    <t>Unité</t>
  </si>
  <si>
    <t>INVESTISSEMENT INITIAL AGR</t>
  </si>
  <si>
    <t>Coûts fixes</t>
  </si>
  <si>
    <t>Coûts variables</t>
  </si>
  <si>
    <t>B</t>
  </si>
  <si>
    <t>A-Nº</t>
  </si>
  <si>
    <t>A</t>
  </si>
  <si>
    <t>B-Nº</t>
  </si>
  <si>
    <t>C-Nº</t>
  </si>
  <si>
    <t>C</t>
  </si>
  <si>
    <t>A.1</t>
  </si>
  <si>
    <t>A.2</t>
  </si>
  <si>
    <t>A.3</t>
  </si>
  <si>
    <t>A.4</t>
  </si>
  <si>
    <t>B.1</t>
  </si>
  <si>
    <t>B.2</t>
  </si>
  <si>
    <t>B.4</t>
  </si>
  <si>
    <t>B.5</t>
  </si>
  <si>
    <t>B.6</t>
  </si>
  <si>
    <t>B.7</t>
  </si>
  <si>
    <t>B.8</t>
  </si>
  <si>
    <t>C.1</t>
  </si>
  <si>
    <t>C.2</t>
  </si>
  <si>
    <t>C.3</t>
  </si>
  <si>
    <t>COÛTS DE L'ACTIVITÉ</t>
  </si>
  <si>
    <t>B.9</t>
  </si>
  <si>
    <t>B.10</t>
  </si>
  <si>
    <t>B.11</t>
  </si>
  <si>
    <t>Amortissement</t>
  </si>
  <si>
    <t>Type de dépenses</t>
  </si>
  <si>
    <t>Localité :</t>
  </si>
  <si>
    <t>PLAN D'AFFAIRES SIMPLIFIE</t>
  </si>
  <si>
    <t xml:space="preserve">Contributions projet: </t>
  </si>
  <si>
    <r>
      <t xml:space="preserve">Cycle de l'AGR </t>
    </r>
    <r>
      <rPr>
        <i/>
        <sz val="12"/>
        <color theme="1"/>
        <rFont val="Calibri"/>
        <family val="2"/>
        <scheme val="minor"/>
      </rPr>
      <t>(hebdomadaire, mensuel, annuel, etc.):</t>
    </r>
  </si>
  <si>
    <t>Coût unitaire</t>
  </si>
  <si>
    <t>DEPENSES PAR CYCLE</t>
  </si>
  <si>
    <t>RECETTES PAR CYCLE</t>
  </si>
  <si>
    <t>Produit / service</t>
  </si>
  <si>
    <t>Prix unitaire</t>
  </si>
  <si>
    <t>Plan Economique</t>
  </si>
  <si>
    <t>Cycle vie (ans)</t>
  </si>
  <si>
    <r>
      <t xml:space="preserve">Nom, Prénom </t>
    </r>
    <r>
      <rPr>
        <sz val="12"/>
        <color theme="1"/>
        <rFont val="Calibri"/>
        <family val="2"/>
        <scheme val="minor"/>
      </rPr>
      <t>(bénéficiaire, personne de contact)</t>
    </r>
    <r>
      <rPr>
        <b/>
        <sz val="12"/>
        <color theme="1"/>
        <rFont val="Calibri"/>
        <family val="2"/>
        <scheme val="minor"/>
      </rPr>
      <t>:</t>
    </r>
  </si>
  <si>
    <t>Numéro téléphone :</t>
  </si>
  <si>
    <t xml:space="preserve">Contributions bénéficiaire: </t>
  </si>
  <si>
    <t>Quantité</t>
  </si>
  <si>
    <t>BÉNÉFICES PAR CYCLE</t>
  </si>
  <si>
    <t>RECETTES DE L'ACTIVITÉ</t>
  </si>
  <si>
    <t>amortis./an</t>
  </si>
  <si>
    <t>Information général et Investissement initial</t>
  </si>
  <si>
    <t>Plan Economique Simplifié</t>
  </si>
  <si>
    <t>Prévision de recettes et dépenses par 3 ans</t>
  </si>
  <si>
    <t>Année 2</t>
  </si>
  <si>
    <t>Année 1</t>
  </si>
  <si>
    <t>Année 3</t>
  </si>
  <si>
    <t>Conversion (cycle--&gt; an)</t>
  </si>
  <si>
    <t>hebdomadaire</t>
  </si>
  <si>
    <t>annuel</t>
  </si>
  <si>
    <t>semestre (6mois)</t>
  </si>
  <si>
    <t>trimestrielle (3mois)</t>
  </si>
  <si>
    <t>Type de Cycle</t>
  </si>
  <si>
    <t>mensuel</t>
  </si>
  <si>
    <t>quincénaire</t>
  </si>
  <si>
    <t>(C-B) BÉNÉFICE</t>
  </si>
  <si>
    <t>(C-B-A) BÉNÉFICE</t>
  </si>
  <si>
    <t>bimensuel (2mois)</t>
  </si>
  <si>
    <t>MRU</t>
  </si>
  <si>
    <t>RÉSUMÉ SUPPORT AGR</t>
  </si>
  <si>
    <t>Amenagement boutique (estimation)</t>
  </si>
  <si>
    <t>Equipment (estimation)</t>
  </si>
  <si>
    <t>Poisson</t>
  </si>
  <si>
    <t>Légumes</t>
  </si>
  <si>
    <t>C.4</t>
  </si>
  <si>
    <t>C.5</t>
  </si>
  <si>
    <t>Transport poisson</t>
  </si>
  <si>
    <t>Location boutique</t>
  </si>
  <si>
    <t>Denrées alimentaires - sucre</t>
  </si>
  <si>
    <t>Transporteur denrées alimentaires</t>
  </si>
  <si>
    <t>Denrées alimentaires - huile</t>
  </si>
  <si>
    <t>20 litres</t>
  </si>
  <si>
    <t>Denrées alimentaires - pate</t>
  </si>
  <si>
    <t>B.12</t>
  </si>
  <si>
    <t>C.7</t>
  </si>
  <si>
    <t>B.13</t>
  </si>
  <si>
    <t>C.8</t>
  </si>
  <si>
    <t>C.9</t>
  </si>
  <si>
    <t>B.14</t>
  </si>
  <si>
    <t>B.15</t>
  </si>
  <si>
    <t>B.16</t>
  </si>
  <si>
    <t>B.17</t>
  </si>
  <si>
    <t>B.18</t>
  </si>
  <si>
    <t>B.19</t>
  </si>
  <si>
    <t>B.20</t>
  </si>
  <si>
    <t>C.10</t>
  </si>
  <si>
    <t>C.11</t>
  </si>
  <si>
    <t>C.12</t>
  </si>
  <si>
    <t>Denrées alimentaires - riz</t>
  </si>
  <si>
    <t>Denrées alimentaires - blé</t>
  </si>
  <si>
    <t>Remarques</t>
  </si>
  <si>
    <t>Achats hebdomadaires</t>
  </si>
  <si>
    <t>Achats mensuels</t>
  </si>
  <si>
    <t>Mois</t>
  </si>
  <si>
    <t>Semaine</t>
  </si>
  <si>
    <t>Ventes hebdomadaires</t>
  </si>
  <si>
    <t>Ventes mensuels</t>
  </si>
  <si>
    <t>Total (Mois)</t>
  </si>
  <si>
    <t>C.13</t>
  </si>
  <si>
    <t>C.14</t>
  </si>
  <si>
    <t>C.15</t>
  </si>
  <si>
    <t>B.23</t>
  </si>
  <si>
    <t>Emballages</t>
  </si>
  <si>
    <t>Entretien</t>
  </si>
  <si>
    <t>1 fois par an</t>
  </si>
  <si>
    <t>Poisson (y compris la glace)</t>
  </si>
  <si>
    <t>Thermo 24l</t>
  </si>
  <si>
    <t>semaine</t>
  </si>
  <si>
    <t>mois</t>
  </si>
  <si>
    <t>C.6</t>
  </si>
  <si>
    <t>kg</t>
  </si>
  <si>
    <t>10 kg</t>
  </si>
  <si>
    <t>sac 50 kg</t>
  </si>
  <si>
    <t>loyer</t>
  </si>
  <si>
    <t>forfait</t>
  </si>
  <si>
    <t>Denrées alimentaires - bidon</t>
  </si>
  <si>
    <t>bidon</t>
  </si>
  <si>
    <t>unités</t>
  </si>
  <si>
    <t>transport</t>
  </si>
  <si>
    <t>Denrées alimentaires - the</t>
  </si>
  <si>
    <t>Produits hygiène - omo</t>
  </si>
  <si>
    <t>Denrées alimentaires - gloria</t>
  </si>
  <si>
    <t>caisse 96 ud</t>
  </si>
  <si>
    <t>carton 18 ud</t>
  </si>
  <si>
    <t>Produits hygiène - savon</t>
  </si>
  <si>
    <t>carton 150 ud</t>
  </si>
  <si>
    <t>sac 25 kg</t>
  </si>
  <si>
    <t>B.24</t>
  </si>
  <si>
    <t>B.26</t>
  </si>
  <si>
    <t>B.27</t>
  </si>
  <si>
    <t>B.28</t>
  </si>
  <si>
    <t>B.29</t>
  </si>
  <si>
    <t>B.30</t>
  </si>
  <si>
    <t>C.19</t>
  </si>
  <si>
    <t>C.20</t>
  </si>
  <si>
    <t>C.22</t>
  </si>
  <si>
    <t>B.3</t>
  </si>
  <si>
    <t>Club de mères - Boulahrath</t>
  </si>
  <si>
    <t>Boulahrath</t>
  </si>
  <si>
    <t>Couscous</t>
  </si>
  <si>
    <t>C.23</t>
  </si>
  <si>
    <t>C.24</t>
  </si>
  <si>
    <t>inclut dans la boutique</t>
  </si>
  <si>
    <t>balance 1500, tapis (2500, 5m), chaises (250-300x2), kit hygiene (450-500)</t>
  </si>
  <si>
    <t xml:space="preserve">Barkeol: 400, NKT: 800 </t>
  </si>
  <si>
    <t>2 thermos</t>
  </si>
  <si>
    <t>avec le transport compris</t>
  </si>
  <si>
    <t>avec le transport compris, pour 5 sacs minimum</t>
  </si>
  <si>
    <t>si vendent le bidon plein est a 1150 MRU</t>
  </si>
  <si>
    <t>1150 MRU/5 kg</t>
  </si>
  <si>
    <t>30 MRU / 100g</t>
  </si>
  <si>
    <t>Denrées alimentaires - farine</t>
  </si>
  <si>
    <t>Denrées alimentaires - lait en poudre</t>
  </si>
  <si>
    <t>50 MRU/sac 50kg, pour l'achat de quantité est gratis</t>
  </si>
  <si>
    <t xml:space="preserve">Apport CRM </t>
  </si>
  <si>
    <r>
      <t>Type/nom de l'activité génératrice de revenus:</t>
    </r>
    <r>
      <rPr>
        <sz val="11"/>
        <color theme="1"/>
        <rFont val="Calibri"/>
        <family val="2"/>
        <scheme val="minor"/>
      </rPr>
      <t xml:space="preserve"> </t>
    </r>
  </si>
  <si>
    <t>1 mois</t>
  </si>
  <si>
    <t>1 cycle</t>
  </si>
  <si>
    <t>1/2 cycle</t>
  </si>
  <si>
    <t>chaque 2 semaines</t>
  </si>
  <si>
    <t>par mois</t>
  </si>
  <si>
    <t>Nouakchott 1 coli par mois</t>
  </si>
  <si>
    <t>trajets</t>
  </si>
  <si>
    <t>Apport du CRM (AGR Clubs des Mères)</t>
  </si>
  <si>
    <t>PLAN ECONOMIQUE du PLAN d'AFFAIRES SIMPLIFIE</t>
  </si>
  <si>
    <r>
      <t xml:space="preserve">Nom, Prénom </t>
    </r>
    <r>
      <rPr>
        <sz val="11"/>
        <color theme="1"/>
        <rFont val="Calibri"/>
        <family val="2"/>
        <scheme val="minor"/>
      </rPr>
      <t>(bénéficiaire)</t>
    </r>
    <r>
      <rPr>
        <b/>
        <sz val="11"/>
        <color theme="1"/>
        <rFont val="Calibri"/>
        <family val="2"/>
        <scheme val="minor"/>
      </rPr>
      <t>:</t>
    </r>
  </si>
  <si>
    <t>Investissement AGR</t>
  </si>
  <si>
    <t>Coût ud (MRU)</t>
  </si>
  <si>
    <t>Total (MRU)</t>
  </si>
  <si>
    <t>Couverture CRM</t>
  </si>
  <si>
    <t>totale</t>
  </si>
  <si>
    <t>Total Investissement AGR couvert</t>
  </si>
  <si>
    <t>Dépenses par cycle (Fonds de roulement)</t>
  </si>
  <si>
    <t>Coûts variables. Vente de poisson et légumes, cycle hebdomadaire</t>
  </si>
  <si>
    <t>1 mois (1 cycle)</t>
  </si>
  <si>
    <t>Autres</t>
  </si>
  <si>
    <t>Emballages et autres dépenses mineures</t>
  </si>
  <si>
    <t>Total dépenses (fond roulement) couvertes</t>
  </si>
  <si>
    <t>Total Contribution CRM (MRU)</t>
  </si>
  <si>
    <t>gratuit par volume d'achat</t>
  </si>
  <si>
    <t>Coûts variables. Elaboration de coucous, cycle hebdomadaire</t>
  </si>
  <si>
    <t>les boutiques avec étagères coutent entre 1000 et 1200</t>
  </si>
  <si>
    <t>Location de la charrette</t>
  </si>
  <si>
    <t>entre 150 et 200, le cout de loyer elles vont charger sur le prix</t>
  </si>
  <si>
    <t>1 fois par semaine (Barkeol 50, NKT 30)</t>
  </si>
  <si>
    <t>1 fois par semaine (Barkeol 25, NKT 15)</t>
  </si>
  <si>
    <t>Couscous, matière premières (blé, farine, charbon)</t>
  </si>
  <si>
    <t>entre 24 et 40 MRU / préparation 1kg</t>
  </si>
  <si>
    <t>Recharge téléphone</t>
  </si>
  <si>
    <t>la dizaine</t>
  </si>
  <si>
    <t>Coûts variables. Vente d'habilles et autres produits, cycle mensuel</t>
  </si>
  <si>
    <t>Coûts variables. Vente de denrées alimentaires et de produits d’hygiène, cycle hebdomadaire</t>
  </si>
  <si>
    <t>Forfait démarrage (transport matériels, visites fournisseurs, etc.)</t>
  </si>
  <si>
    <t>Boutique / magasin de produits diverses, notamment denrées alimentaires de base, poisson, légumes et produits d’hygiène. L’activité se complémente avec la production et commercialisation de couscous (transformation de blé).</t>
  </si>
  <si>
    <t>Année 2 et 3</t>
  </si>
  <si>
    <t>Thermo pour le transport 48 Kg.</t>
  </si>
  <si>
    <t>unité</t>
  </si>
  <si>
    <t>TOTAL ANNÉES 2 ET 3</t>
  </si>
  <si>
    <t>Evolution: augmanter les produits existants, acheter un congelateur, augmanter la production et commercialisation de couscous</t>
  </si>
  <si>
    <t>Congelateur solaire 208 litres, avec panneaux, installation et transport</t>
  </si>
  <si>
    <t>Scenario évolution AGR (années 2 et 3)</t>
  </si>
  <si>
    <t>doubler les trajets pour ventre</t>
  </si>
  <si>
    <t>Estimation augmentation 15% (sur le bénéfice)</t>
  </si>
  <si>
    <t>Benefice . Diversification produits année 2</t>
  </si>
  <si>
    <t>Benefice . Diversification produits année 3</t>
  </si>
  <si>
    <t>C.25</t>
  </si>
  <si>
    <t>C.26</t>
  </si>
  <si>
    <t>C.27</t>
  </si>
  <si>
    <t>C.28</t>
  </si>
  <si>
    <t>C.29</t>
  </si>
  <si>
    <t>C.30</t>
  </si>
  <si>
    <t>Benefice. Augmentation poisson et légumes</t>
  </si>
  <si>
    <t>Benefice. Augmentation denrés alimentaires</t>
  </si>
  <si>
    <t>Option de vente modérée. Cette deuxième analyse du Plan Economique montre les résultats avec un écoulement un peu plus réduit  (notamment de certains denrées alimentaires) à ce qui avait été proposé par le Clubs des Mères.</t>
  </si>
  <si>
    <t>Estimation vente de 1 à 4 fois par semaine</t>
  </si>
  <si>
    <t>Estimation augmantation 25%</t>
  </si>
  <si>
    <t>Benefice. Augmentation production couscous</t>
  </si>
  <si>
    <t>Benefice. Augmentation vente de vetements</t>
  </si>
  <si>
    <t>Vêtements - Voiles</t>
  </si>
  <si>
    <t>Vêtements - Robes</t>
  </si>
  <si>
    <t>Vêtements - Chaussures</t>
  </si>
  <si>
    <t>Vêtements - Vêtements enfant</t>
  </si>
  <si>
    <t>Transport Vêtements</t>
  </si>
  <si>
    <r>
      <t xml:space="preserve">Plan économique pour le </t>
    </r>
    <r>
      <rPr>
        <b/>
        <sz val="11"/>
        <color theme="1"/>
        <rFont val="Calibri"/>
        <family val="2"/>
        <scheme val="minor"/>
      </rPr>
      <t>premier année selon la définition élaborée avec le groupement</t>
    </r>
    <r>
      <rPr>
        <sz val="11"/>
        <color theme="1"/>
        <rFont val="Calibri"/>
        <family val="2"/>
        <scheme val="minor"/>
      </rPr>
      <t xml:space="preserve">.
</t>
    </r>
    <r>
      <rPr>
        <b/>
        <sz val="11"/>
        <color theme="1"/>
        <rFont val="Calibri"/>
        <family val="2"/>
        <scheme val="minor"/>
      </rPr>
      <t>Scenario d'évolution du PAS</t>
    </r>
    <r>
      <rPr>
        <sz val="11"/>
        <color theme="1"/>
        <rFont val="Calibri"/>
        <family val="2"/>
        <scheme val="minor"/>
      </rPr>
      <t>: augmentation de la vente de poisson (4 fois x semaine), les denrées alimentaires (25%) et des autres produits de base (doubler); achat d'un congelateur et diversification (boissons, poulets, etc.). L'évolution est calculé sur la base de bénéfices mensuels et en utilisant les résultats des AGRs d'autres groupements.</t>
    </r>
  </si>
  <si>
    <r>
      <t xml:space="preserve">Plan économique pour le </t>
    </r>
    <r>
      <rPr>
        <b/>
        <sz val="11"/>
        <color theme="1"/>
        <rFont val="Calibri"/>
        <family val="2"/>
        <scheme val="minor"/>
      </rPr>
      <t>premier année selon la définition élaborée avec le groupement</t>
    </r>
    <r>
      <rPr>
        <sz val="11"/>
        <color theme="1"/>
        <rFont val="Calibri"/>
        <family val="2"/>
        <scheme val="minor"/>
      </rPr>
      <t xml:space="preserve">.
</t>
    </r>
    <r>
      <rPr>
        <b/>
        <sz val="11"/>
        <color theme="1"/>
        <rFont val="Calibri"/>
        <family val="2"/>
        <scheme val="minor"/>
      </rPr>
      <t>Scenario d'évolution du PAS</t>
    </r>
    <r>
      <rPr>
        <sz val="11"/>
        <color theme="1"/>
        <rFont val="Calibri"/>
        <family val="2"/>
        <scheme val="minor"/>
      </rPr>
      <t>: augmentation de la vente de poisson (4 fois x semaine), les denrées alimentaires (50%) et des autres produits de base (doubler); achat d'un congelateur et diversification (boissons, poulets, etc.). L'évolution est calculé sur la base de bénéfices mensuels et en utilisant les résultats des AGRs d'autres groupements.</t>
    </r>
  </si>
  <si>
    <t>RESUME</t>
  </si>
  <si>
    <t xml:space="preserve">Investissement </t>
  </si>
  <si>
    <t>Dépenses fixes</t>
  </si>
  <si>
    <t>Dépenses variables</t>
  </si>
  <si>
    <t>Recettes</t>
  </si>
  <si>
    <t>Scenario évolution AGR (années 2 et 3), estimation mensuelle</t>
  </si>
  <si>
    <t xml:space="preserve">Type/nom de l'activité génératrice de revenus: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</si>
</sst>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0.0"/>
    <numFmt numFmtId="166" formatCode="_-* #,##0.0\ _€_-;\-* #,##0.0\ _€_-;_-* &quot;-&quot;??\ _€_-;_-@_-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22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theme="8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ECEADC"/>
        <bgColor indexed="64"/>
      </patternFill>
    </fill>
    <fill>
      <patternFill patternType="solid">
        <fgColor rgb="FFC7C09D"/>
        <bgColor indexed="64"/>
      </patternFill>
    </fill>
    <fill>
      <patternFill patternType="solid">
        <fgColor rgb="FFFFF13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6F5F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23">
    <xf numFmtId="0" fontId="0" fillId="0" borderId="0" xfId="0"/>
    <xf numFmtId="0" fontId="4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0" fillId="3" borderId="0" xfId="1" applyNumberFormat="1" applyFont="1" applyFill="1" applyBorder="1" applyAlignment="1">
      <alignment horizontal="center" vertical="center"/>
    </xf>
    <xf numFmtId="164" fontId="4" fillId="4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164" fontId="4" fillId="3" borderId="0" xfId="1" applyNumberFormat="1" applyFont="1" applyFill="1" applyBorder="1" applyAlignment="1">
      <alignment vertical="center"/>
    </xf>
    <xf numFmtId="164" fontId="9" fillId="2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164" fontId="0" fillId="0" borderId="0" xfId="1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center" vertical="center"/>
    </xf>
    <xf numFmtId="164" fontId="0" fillId="5" borderId="0" xfId="1" applyNumberFormat="1" applyFont="1" applyFill="1" applyBorder="1" applyAlignment="1">
      <alignment horizontal="center" vertical="center"/>
    </xf>
    <xf numFmtId="164" fontId="0" fillId="0" borderId="0" xfId="0" applyNumberFormat="1" applyFont="1" applyBorder="1" applyAlignment="1">
      <alignment vertical="center"/>
    </xf>
    <xf numFmtId="0" fontId="18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left" vertical="center"/>
    </xf>
    <xf numFmtId="164" fontId="9" fillId="2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Border="1" applyAlignment="1">
      <alignment horizontal="left" vertical="center"/>
    </xf>
    <xf numFmtId="164" fontId="0" fillId="3" borderId="0" xfId="1" applyNumberFormat="1" applyFont="1" applyFill="1" applyBorder="1" applyAlignment="1">
      <alignment horizontal="left" vertical="center"/>
    </xf>
    <xf numFmtId="164" fontId="4" fillId="4" borderId="0" xfId="1" applyNumberFormat="1" applyFont="1" applyFill="1" applyBorder="1" applyAlignment="1">
      <alignment horizontal="left" vertical="center"/>
    </xf>
    <xf numFmtId="164" fontId="0" fillId="5" borderId="0" xfId="1" applyNumberFormat="1" applyFont="1" applyFill="1" applyBorder="1" applyAlignment="1">
      <alignment horizontal="left" vertical="center"/>
    </xf>
    <xf numFmtId="165" fontId="0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164" fontId="6" fillId="3" borderId="0" xfId="1" applyNumberFormat="1" applyFont="1" applyFill="1" applyBorder="1" applyAlignment="1">
      <alignment horizontal="center" vertical="center"/>
    </xf>
    <xf numFmtId="164" fontId="6" fillId="3" borderId="0" xfId="1" applyNumberFormat="1" applyFont="1" applyFill="1" applyBorder="1" applyAlignment="1">
      <alignment horizontal="left" vertical="center"/>
    </xf>
    <xf numFmtId="164" fontId="0" fillId="0" borderId="0" xfId="1" applyNumberFormat="1" applyFont="1" applyFill="1" applyBorder="1" applyAlignment="1">
      <alignment horizontal="center" vertical="center"/>
    </xf>
    <xf numFmtId="164" fontId="0" fillId="3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6" fontId="0" fillId="0" borderId="0" xfId="1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4" fontId="17" fillId="3" borderId="7" xfId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164" fontId="18" fillId="0" borderId="0" xfId="1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9" fillId="2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center" vertical="center"/>
    </xf>
    <xf numFmtId="164" fontId="11" fillId="3" borderId="0" xfId="0" applyNumberFormat="1" applyFont="1" applyFill="1" applyBorder="1" applyAlignment="1">
      <alignment horizontal="center" vertical="center"/>
    </xf>
    <xf numFmtId="164" fontId="11" fillId="3" borderId="0" xfId="1" applyNumberFormat="1" applyFont="1" applyFill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164" fontId="18" fillId="0" borderId="0" xfId="1" applyNumberFormat="1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vertical="center" wrapText="1"/>
    </xf>
    <xf numFmtId="164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164" fontId="4" fillId="3" borderId="0" xfId="0" applyNumberFormat="1" applyFont="1" applyFill="1" applyBorder="1" applyAlignment="1">
      <alignment horizontal="left" vertical="center"/>
    </xf>
    <xf numFmtId="164" fontId="0" fillId="0" borderId="0" xfId="1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164" fontId="0" fillId="6" borderId="0" xfId="1" applyNumberFormat="1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164" fontId="0" fillId="6" borderId="0" xfId="1" applyNumberFormat="1" applyFont="1" applyFill="1" applyBorder="1" applyAlignment="1">
      <alignment horizontal="center" vertical="center"/>
    </xf>
    <xf numFmtId="164" fontId="0" fillId="6" borderId="0" xfId="0" applyNumberFormat="1" applyFont="1" applyFill="1" applyBorder="1" applyAlignment="1">
      <alignment vertical="center" wrapText="1"/>
    </xf>
    <xf numFmtId="164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64" fontId="0" fillId="0" borderId="0" xfId="1" applyNumberFormat="1" applyFont="1" applyBorder="1" applyAlignment="1">
      <alignment horizontal="center" vertical="center" wrapText="1"/>
    </xf>
    <xf numFmtId="164" fontId="0" fillId="0" borderId="0" xfId="1" applyNumberFormat="1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3" borderId="0" xfId="0" applyFont="1" applyFill="1" applyBorder="1" applyAlignment="1">
      <alignment horizontal="left" vertical="center"/>
    </xf>
    <xf numFmtId="0" fontId="21" fillId="3" borderId="0" xfId="0" applyFont="1" applyFill="1" applyBorder="1" applyAlignment="1">
      <alignment vertical="center"/>
    </xf>
    <xf numFmtId="0" fontId="22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164" fontId="0" fillId="3" borderId="0" xfId="1" applyNumberFormat="1" applyFont="1" applyFill="1" applyBorder="1" applyAlignment="1">
      <alignment horizontal="center" vertical="center" wrapText="1"/>
    </xf>
    <xf numFmtId="164" fontId="0" fillId="3" borderId="0" xfId="1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15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left" vertical="center" wrapText="1"/>
    </xf>
    <xf numFmtId="164" fontId="0" fillId="0" borderId="0" xfId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vertical="center"/>
    </xf>
    <xf numFmtId="164" fontId="22" fillId="8" borderId="0" xfId="1" applyNumberFormat="1" applyFont="1" applyFill="1" applyBorder="1" applyAlignment="1">
      <alignment horizontal="center" vertical="center"/>
    </xf>
    <xf numFmtId="164" fontId="22" fillId="8" borderId="9" xfId="1" applyNumberFormat="1" applyFont="1" applyFill="1" applyBorder="1" applyAlignment="1">
      <alignment horizontal="center" vertical="center"/>
    </xf>
    <xf numFmtId="0" fontId="22" fillId="8" borderId="8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164" fontId="22" fillId="8" borderId="0" xfId="1" applyNumberFormat="1" applyFont="1" applyFill="1" applyBorder="1" applyAlignment="1">
      <alignment horizontal="left" vertical="center"/>
    </xf>
    <xf numFmtId="164" fontId="22" fillId="0" borderId="0" xfId="0" applyNumberFormat="1" applyFont="1" applyBorder="1" applyAlignment="1">
      <alignment vertical="center"/>
    </xf>
    <xf numFmtId="164" fontId="0" fillId="0" borderId="9" xfId="1" applyNumberFormat="1" applyFont="1" applyFill="1" applyBorder="1" applyAlignment="1">
      <alignment horizontal="center" vertical="center"/>
    </xf>
    <xf numFmtId="164" fontId="22" fillId="8" borderId="8" xfId="1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164" fontId="22" fillId="0" borderId="0" xfId="0" applyNumberFormat="1" applyFont="1" applyFill="1" applyBorder="1" applyAlignment="1">
      <alignment vertical="center"/>
    </xf>
    <xf numFmtId="164" fontId="0" fillId="0" borderId="8" xfId="1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0" fillId="0" borderId="9" xfId="1" applyNumberFormat="1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164" fontId="0" fillId="3" borderId="9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64" fontId="0" fillId="0" borderId="8" xfId="1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164" fontId="4" fillId="4" borderId="9" xfId="1" applyNumberFormat="1" applyFont="1" applyFill="1" applyBorder="1" applyAlignment="1">
      <alignment horizontal="center" vertical="center"/>
    </xf>
    <xf numFmtId="164" fontId="4" fillId="4" borderId="8" xfId="1" applyNumberFormat="1" applyFont="1" applyFill="1" applyBorder="1" applyAlignment="1">
      <alignment horizontal="center" vertical="center"/>
    </xf>
    <xf numFmtId="164" fontId="0" fillId="0" borderId="9" xfId="0" applyNumberFormat="1" applyFont="1" applyBorder="1" applyAlignment="1">
      <alignment vertical="center"/>
    </xf>
    <xf numFmtId="164" fontId="0" fillId="0" borderId="8" xfId="0" applyNumberFormat="1" applyFont="1" applyBorder="1" applyAlignment="1">
      <alignment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164" fontId="0" fillId="5" borderId="9" xfId="1" applyNumberFormat="1" applyFont="1" applyFill="1" applyBorder="1" applyAlignment="1">
      <alignment horizontal="center" vertical="center"/>
    </xf>
    <xf numFmtId="164" fontId="0" fillId="5" borderId="8" xfId="1" applyNumberFormat="1" applyFont="1" applyFill="1" applyBorder="1" applyAlignment="1">
      <alignment horizontal="center" vertical="center"/>
    </xf>
    <xf numFmtId="164" fontId="4" fillId="4" borderId="12" xfId="1" applyNumberFormat="1" applyFont="1" applyFill="1" applyBorder="1" applyAlignment="1">
      <alignment horizontal="center" vertical="center"/>
    </xf>
    <xf numFmtId="164" fontId="4" fillId="4" borderId="13" xfId="1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164" fontId="17" fillId="3" borderId="3" xfId="1" applyNumberFormat="1" applyFont="1" applyFill="1" applyBorder="1" applyAlignment="1">
      <alignment horizontal="center" vertical="center"/>
    </xf>
    <xf numFmtId="164" fontId="17" fillId="3" borderId="1" xfId="1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0" fillId="7" borderId="0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 wrapText="1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19" fillId="9" borderId="10" xfId="0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164" fontId="19" fillId="9" borderId="10" xfId="1" applyNumberFormat="1" applyFont="1" applyFill="1" applyBorder="1" applyAlignment="1">
      <alignment horizontal="center" vertical="center"/>
    </xf>
    <xf numFmtId="164" fontId="19" fillId="9" borderId="14" xfId="1" applyNumberFormat="1" applyFont="1" applyFill="1" applyBorder="1" applyAlignment="1">
      <alignment horizontal="center" vertical="center"/>
    </xf>
    <xf numFmtId="164" fontId="19" fillId="9" borderId="11" xfId="1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10" borderId="9" xfId="0" applyFont="1" applyFill="1" applyBorder="1" applyAlignment="1">
      <alignment horizontal="center" vertical="center"/>
    </xf>
    <xf numFmtId="0" fontId="0" fillId="10" borderId="0" xfId="0" applyFont="1" applyFill="1" applyBorder="1" applyAlignment="1">
      <alignment horizontal="left" vertical="center"/>
    </xf>
    <xf numFmtId="164" fontId="0" fillId="10" borderId="0" xfId="1" applyNumberFormat="1" applyFont="1" applyFill="1" applyBorder="1" applyAlignment="1">
      <alignment horizontal="center" vertical="center"/>
    </xf>
    <xf numFmtId="164" fontId="0" fillId="10" borderId="9" xfId="1" applyNumberFormat="1" applyFont="1" applyFill="1" applyBorder="1" applyAlignment="1">
      <alignment horizontal="center" vertical="center"/>
    </xf>
    <xf numFmtId="164" fontId="0" fillId="10" borderId="8" xfId="1" applyNumberFormat="1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19" fillId="9" borderId="12" xfId="0" applyFont="1" applyFill="1" applyBorder="1" applyAlignment="1">
      <alignment horizontal="center" vertical="center"/>
    </xf>
    <xf numFmtId="0" fontId="19" fillId="9" borderId="15" xfId="0" applyFont="1" applyFill="1" applyBorder="1" applyAlignment="1">
      <alignment horizontal="left" vertical="center"/>
    </xf>
    <xf numFmtId="164" fontId="19" fillId="9" borderId="15" xfId="1" applyNumberFormat="1" applyFont="1" applyFill="1" applyBorder="1" applyAlignment="1">
      <alignment horizontal="center" vertical="center"/>
    </xf>
    <xf numFmtId="164" fontId="19" fillId="9" borderId="12" xfId="1" applyNumberFormat="1" applyFont="1" applyFill="1" applyBorder="1" applyAlignment="1">
      <alignment horizontal="center" vertical="center"/>
    </xf>
    <xf numFmtId="164" fontId="19" fillId="9" borderId="13" xfId="1" applyNumberFormat="1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4" fontId="10" fillId="0" borderId="0" xfId="0" applyNumberFormat="1" applyFont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ECEADC"/>
      <color rgb="FFFFF13B"/>
      <color rgb="FFC7C0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694765</xdr:colOff>
      <xdr:row>0</xdr:row>
      <xdr:rowOff>51867</xdr:rowOff>
    </xdr:from>
    <xdr:to>
      <xdr:col>7</xdr:col>
      <xdr:colOff>974751</xdr:colOff>
      <xdr:row>2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36C12B-7AD7-4D52-A83F-B7A9FD4136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1490" y="51867"/>
          <a:ext cx="3223211" cy="691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22412</xdr:colOff>
      <xdr:row>0</xdr:row>
      <xdr:rowOff>78441</xdr:rowOff>
    </xdr:from>
    <xdr:to>
      <xdr:col>13</xdr:col>
      <xdr:colOff>515470</xdr:colOff>
      <xdr:row>2</xdr:row>
      <xdr:rowOff>217074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827791-CC04-4CD9-8BD9-027B32ECC35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1647" y="78441"/>
          <a:ext cx="3451411" cy="6877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22412</xdr:colOff>
      <xdr:row>0</xdr:row>
      <xdr:rowOff>78441</xdr:rowOff>
    </xdr:from>
    <xdr:to>
      <xdr:col>13</xdr:col>
      <xdr:colOff>515470</xdr:colOff>
      <xdr:row>2</xdr:row>
      <xdr:rowOff>217074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F3E24C-641E-4341-A6BD-7E19635812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99937" y="78441"/>
          <a:ext cx="3436283" cy="691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201707</xdr:colOff>
      <xdr:row>0</xdr:row>
      <xdr:rowOff>89647</xdr:rowOff>
    </xdr:from>
    <xdr:to>
      <xdr:col>6</xdr:col>
      <xdr:colOff>1122</xdr:colOff>
      <xdr:row>2</xdr:row>
      <xdr:rowOff>212912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2DC303-858A-4C09-945F-F356E8EB302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5795" y="89647"/>
          <a:ext cx="2948268" cy="67235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zoomScale="85" zoomScaleNormal="85" zoomScalePageLayoutView="85" workbookViewId="0">
      <pane ySplit="3" topLeftCell="A4" activePane="bottomLeft" state="frozen"/>
      <selection pane="bottomLeft" activeCell="A7" sqref="A7:B7"/>
    </sheetView>
  </sheetViews>
  <sheetFormatPr baseColWidth="10" defaultColWidth="10.85546875" defaultRowHeight="15" x14ac:dyDescent="0.25"/>
  <cols>
    <col min="1" max="1" width="10.140625" style="9" customWidth="1"/>
    <col min="2" max="2" width="39.28515625" style="9" customWidth="1"/>
    <col min="3" max="8" width="14.7109375" style="9" customWidth="1"/>
    <col min="9" max="9" width="69.7109375" style="64" bestFit="1" customWidth="1"/>
    <col min="10" max="10" width="19.42578125" style="37" hidden="1" customWidth="1"/>
    <col min="11" max="16384" width="10.85546875" style="9"/>
  </cols>
  <sheetData>
    <row r="1" spans="1:11" ht="28.5" x14ac:dyDescent="0.25">
      <c r="A1" s="26" t="s">
        <v>52</v>
      </c>
      <c r="B1" s="4"/>
      <c r="C1" s="5"/>
      <c r="D1" s="5"/>
      <c r="E1" s="5"/>
      <c r="G1" s="10"/>
      <c r="H1" s="10"/>
    </row>
    <row r="2" spans="1:11" x14ac:dyDescent="0.25">
      <c r="A2" s="1"/>
      <c r="B2" s="7"/>
      <c r="C2" s="5"/>
      <c r="D2" s="5"/>
      <c r="E2" s="5"/>
      <c r="G2" s="10"/>
      <c r="H2" s="10"/>
    </row>
    <row r="3" spans="1:11" ht="18.75" x14ac:dyDescent="0.25">
      <c r="A3" s="27" t="s">
        <v>51</v>
      </c>
      <c r="B3" s="4"/>
      <c r="G3" s="10"/>
      <c r="H3" s="10"/>
    </row>
    <row r="4" spans="1:11" x14ac:dyDescent="0.25">
      <c r="A4" s="1"/>
      <c r="B4" s="4"/>
      <c r="G4" s="10"/>
      <c r="H4" s="10"/>
    </row>
    <row r="5" spans="1:11" ht="18.75" customHeight="1" x14ac:dyDescent="0.25">
      <c r="A5" s="176" t="s">
        <v>34</v>
      </c>
      <c r="B5" s="176"/>
      <c r="C5" s="176"/>
      <c r="D5" s="176"/>
      <c r="E5" s="176"/>
      <c r="F5" s="176"/>
      <c r="G5" s="176"/>
      <c r="H5" s="176"/>
      <c r="J5" s="38"/>
      <c r="K5" s="2"/>
    </row>
    <row r="6" spans="1:11" ht="18.75" customHeight="1" thickBot="1" x14ac:dyDescent="0.3">
      <c r="A6" s="14"/>
      <c r="B6" s="14"/>
      <c r="C6" s="14"/>
      <c r="D6" s="14"/>
      <c r="E6" s="14"/>
      <c r="F6" s="14"/>
      <c r="G6" s="14"/>
      <c r="H6" s="14"/>
      <c r="I6" s="65"/>
      <c r="J6" s="38" t="s">
        <v>62</v>
      </c>
      <c r="K6" s="2"/>
    </row>
    <row r="7" spans="1:11" ht="52.5" customHeight="1" thickBot="1" x14ac:dyDescent="0.3">
      <c r="A7" s="177" t="s">
        <v>241</v>
      </c>
      <c r="B7" s="178"/>
      <c r="C7" s="179" t="s">
        <v>203</v>
      </c>
      <c r="D7" s="179"/>
      <c r="E7" s="180"/>
      <c r="F7" s="180"/>
      <c r="G7" s="180"/>
      <c r="H7" s="181"/>
      <c r="I7" s="135" t="s">
        <v>208</v>
      </c>
      <c r="J7" s="38" t="s">
        <v>58</v>
      </c>
    </row>
    <row r="8" spans="1:11" ht="18" customHeight="1" thickBot="1" x14ac:dyDescent="0.3">
      <c r="A8" s="177" t="s">
        <v>44</v>
      </c>
      <c r="B8" s="178"/>
      <c r="C8" s="180" t="s">
        <v>147</v>
      </c>
      <c r="D8" s="180"/>
      <c r="E8" s="180"/>
      <c r="F8" s="180"/>
      <c r="G8" s="180"/>
      <c r="H8" s="181"/>
      <c r="J8" s="38" t="s">
        <v>64</v>
      </c>
    </row>
    <row r="9" spans="1:11" ht="18" customHeight="1" thickBot="1" x14ac:dyDescent="0.3">
      <c r="A9" s="70" t="s">
        <v>45</v>
      </c>
      <c r="B9" s="71"/>
      <c r="C9" s="16"/>
      <c r="D9" s="16"/>
      <c r="E9" s="70" t="s">
        <v>33</v>
      </c>
      <c r="F9" s="17" t="s">
        <v>148</v>
      </c>
      <c r="G9" s="17"/>
      <c r="H9" s="18"/>
      <c r="J9" s="38" t="s">
        <v>63</v>
      </c>
    </row>
    <row r="10" spans="1:11" ht="18" customHeight="1" thickBot="1" x14ac:dyDescent="0.3">
      <c r="A10" s="15"/>
      <c r="B10" s="15"/>
      <c r="E10" s="7"/>
      <c r="F10" s="7"/>
      <c r="G10" s="7"/>
      <c r="H10" s="7"/>
      <c r="J10" s="38" t="s">
        <v>67</v>
      </c>
      <c r="K10" s="2"/>
    </row>
    <row r="11" spans="1:11" ht="16.5" thickBot="1" x14ac:dyDescent="0.3">
      <c r="A11" s="177" t="s">
        <v>36</v>
      </c>
      <c r="B11" s="178"/>
      <c r="C11" s="178"/>
      <c r="D11" s="178"/>
      <c r="E11" s="178"/>
      <c r="F11" s="178"/>
      <c r="G11" s="182" t="s">
        <v>63</v>
      </c>
      <c r="H11" s="183"/>
      <c r="J11" s="38" t="s">
        <v>60</v>
      </c>
    </row>
    <row r="12" spans="1:11" s="3" customFormat="1" ht="16.5" thickBot="1" x14ac:dyDescent="0.3">
      <c r="A12" s="184" t="s">
        <v>35</v>
      </c>
      <c r="B12" s="185"/>
      <c r="C12" s="174">
        <v>85000</v>
      </c>
      <c r="D12" s="175"/>
      <c r="E12" s="184" t="s">
        <v>46</v>
      </c>
      <c r="F12" s="185"/>
      <c r="G12" s="186"/>
      <c r="H12" s="187"/>
      <c r="I12" s="66"/>
      <c r="J12" s="39" t="s">
        <v>61</v>
      </c>
    </row>
    <row r="13" spans="1:11" x14ac:dyDescent="0.25">
      <c r="A13" s="13"/>
      <c r="B13" s="13"/>
      <c r="C13" s="12"/>
      <c r="D13" s="12"/>
      <c r="E13" s="12"/>
      <c r="F13" s="12"/>
      <c r="G13" s="12"/>
      <c r="H13" s="12"/>
      <c r="I13" s="12"/>
      <c r="J13" s="40" t="s">
        <v>59</v>
      </c>
      <c r="K13" s="3"/>
    </row>
    <row r="14" spans="1:11" ht="18.75" x14ac:dyDescent="0.25">
      <c r="A14" s="176" t="s">
        <v>4</v>
      </c>
      <c r="B14" s="176"/>
      <c r="C14" s="176"/>
      <c r="D14" s="176"/>
      <c r="E14" s="176"/>
      <c r="F14" s="176"/>
      <c r="G14" s="176" t="s">
        <v>31</v>
      </c>
      <c r="H14" s="176"/>
      <c r="I14" s="67" t="s">
        <v>100</v>
      </c>
    </row>
    <row r="15" spans="1:11" x14ac:dyDescent="0.25">
      <c r="A15" s="6" t="s">
        <v>8</v>
      </c>
      <c r="B15" s="6" t="s">
        <v>2</v>
      </c>
      <c r="C15" s="6" t="s">
        <v>47</v>
      </c>
      <c r="D15" s="6" t="s">
        <v>3</v>
      </c>
      <c r="E15" s="6" t="s">
        <v>37</v>
      </c>
      <c r="F15" s="6" t="s">
        <v>1</v>
      </c>
      <c r="G15" s="19" t="s">
        <v>43</v>
      </c>
      <c r="H15" s="19" t="s">
        <v>50</v>
      </c>
      <c r="I15" s="68"/>
    </row>
    <row r="16" spans="1:11" s="11" customFormat="1" ht="14.45" customHeight="1" x14ac:dyDescent="0.25">
      <c r="A16" s="69" t="s">
        <v>13</v>
      </c>
      <c r="B16" s="11" t="s">
        <v>70</v>
      </c>
      <c r="C16" s="73">
        <v>0</v>
      </c>
      <c r="D16" s="112" t="s">
        <v>206</v>
      </c>
      <c r="E16" s="62">
        <v>5000</v>
      </c>
      <c r="F16" s="62">
        <f t="shared" ref="F16:F19" si="0">C16*E16</f>
        <v>0</v>
      </c>
      <c r="G16" s="24">
        <v>10</v>
      </c>
      <c r="H16" s="30">
        <f t="shared" ref="H16" si="1">1/G16*F16</f>
        <v>0</v>
      </c>
      <c r="I16" s="52" t="s">
        <v>152</v>
      </c>
      <c r="J16" s="41"/>
    </row>
    <row r="17" spans="1:12" s="11" customFormat="1" ht="14.45" customHeight="1" x14ac:dyDescent="0.25">
      <c r="A17" s="69" t="s">
        <v>14</v>
      </c>
      <c r="B17" s="11" t="s">
        <v>71</v>
      </c>
      <c r="C17" s="73">
        <v>1</v>
      </c>
      <c r="D17" s="112" t="s">
        <v>206</v>
      </c>
      <c r="E17" s="62">
        <f>1500+2500+275*2+500</f>
        <v>5050</v>
      </c>
      <c r="F17" s="62">
        <f t="shared" si="0"/>
        <v>5050</v>
      </c>
      <c r="G17" s="24">
        <v>5</v>
      </c>
      <c r="H17" s="30">
        <f t="shared" ref="H17:H18" si="2">1/G17*F17</f>
        <v>1010</v>
      </c>
      <c r="I17" s="52" t="s">
        <v>153</v>
      </c>
      <c r="J17" s="41"/>
    </row>
    <row r="18" spans="1:12" s="11" customFormat="1" ht="14.45" customHeight="1" x14ac:dyDescent="0.25">
      <c r="A18" s="82" t="s">
        <v>15</v>
      </c>
      <c r="B18" s="11" t="s">
        <v>116</v>
      </c>
      <c r="C18" s="73">
        <v>2</v>
      </c>
      <c r="D18" s="112" t="s">
        <v>206</v>
      </c>
      <c r="E18" s="62">
        <v>2200</v>
      </c>
      <c r="F18" s="62">
        <f t="shared" si="0"/>
        <v>4400</v>
      </c>
      <c r="G18" s="24">
        <v>10</v>
      </c>
      <c r="H18" s="30">
        <f t="shared" si="2"/>
        <v>440</v>
      </c>
      <c r="I18" s="52" t="s">
        <v>155</v>
      </c>
      <c r="J18" s="41"/>
    </row>
    <row r="19" spans="1:12" s="11" customFormat="1" ht="30" x14ac:dyDescent="0.25">
      <c r="A19" s="82" t="s">
        <v>16</v>
      </c>
      <c r="B19" s="115" t="s">
        <v>202</v>
      </c>
      <c r="C19" s="73">
        <v>1</v>
      </c>
      <c r="D19" s="132" t="s">
        <v>124</v>
      </c>
      <c r="E19" s="62">
        <f>2000</f>
        <v>2000</v>
      </c>
      <c r="F19" s="62">
        <f t="shared" si="0"/>
        <v>2000</v>
      </c>
      <c r="G19" s="24"/>
      <c r="H19" s="30"/>
      <c r="I19" s="52"/>
      <c r="J19" s="41"/>
    </row>
    <row r="20" spans="1:12" s="11" customFormat="1" ht="14.45" customHeight="1" x14ac:dyDescent="0.25">
      <c r="A20" s="75"/>
      <c r="C20" s="73"/>
      <c r="D20" s="73"/>
      <c r="E20" s="62"/>
      <c r="F20" s="62"/>
      <c r="G20" s="24"/>
      <c r="H20" s="30"/>
      <c r="I20" s="52"/>
      <c r="J20" s="41"/>
    </row>
    <row r="21" spans="1:12" s="7" customFormat="1" x14ac:dyDescent="0.25">
      <c r="A21" s="25" t="s">
        <v>9</v>
      </c>
      <c r="B21" s="173" t="s">
        <v>0</v>
      </c>
      <c r="C21" s="173"/>
      <c r="D21" s="173"/>
      <c r="E21" s="173"/>
      <c r="F21" s="31">
        <f>SUM(F16:F20)</f>
        <v>11450</v>
      </c>
      <c r="G21" s="20"/>
      <c r="H21" s="31">
        <f>SUM(H16:H20)</f>
        <v>1450</v>
      </c>
      <c r="I21" s="53"/>
      <c r="J21" s="39"/>
    </row>
    <row r="22" spans="1:12" s="93" customFormat="1" x14ac:dyDescent="0.25">
      <c r="A22" s="112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2" s="125" customFormat="1" x14ac:dyDescent="0.25">
      <c r="A23" s="121" t="s">
        <v>8</v>
      </c>
      <c r="B23" s="121" t="s">
        <v>2</v>
      </c>
      <c r="C23" s="121" t="s">
        <v>47</v>
      </c>
      <c r="D23" s="121" t="s">
        <v>3</v>
      </c>
      <c r="E23" s="121" t="s">
        <v>37</v>
      </c>
      <c r="F23" s="121" t="s">
        <v>1</v>
      </c>
      <c r="G23" s="122" t="s">
        <v>43</v>
      </c>
      <c r="H23" s="122" t="s">
        <v>50</v>
      </c>
      <c r="I23" s="123"/>
      <c r="J23" s="124"/>
    </row>
    <row r="24" spans="1:12" s="125" customFormat="1" x14ac:dyDescent="0.25">
      <c r="A24" s="126"/>
      <c r="B24" s="127" t="s">
        <v>204</v>
      </c>
      <c r="C24" s="122"/>
      <c r="D24" s="122"/>
      <c r="E24" s="128"/>
      <c r="F24" s="128"/>
      <c r="G24" s="122"/>
      <c r="H24" s="122"/>
      <c r="I24" s="123"/>
      <c r="J24" s="124"/>
    </row>
    <row r="25" spans="1:12" s="103" customFormat="1" ht="14.45" customHeight="1" x14ac:dyDescent="0.25">
      <c r="A25" s="112" t="s">
        <v>13</v>
      </c>
      <c r="B25" s="103" t="s">
        <v>205</v>
      </c>
      <c r="C25" s="112">
        <v>1</v>
      </c>
      <c r="D25" s="112" t="s">
        <v>206</v>
      </c>
      <c r="E25" s="113">
        <f>E18</f>
        <v>2200</v>
      </c>
      <c r="F25" s="113">
        <f>C25*E25</f>
        <v>2200</v>
      </c>
      <c r="G25" s="129">
        <v>10</v>
      </c>
      <c r="H25" s="130">
        <f>1/G25*F25</f>
        <v>220</v>
      </c>
      <c r="I25" s="131"/>
      <c r="J25" s="38"/>
    </row>
    <row r="26" spans="1:12" s="93" customFormat="1" ht="30" x14ac:dyDescent="0.25">
      <c r="A26" s="112" t="s">
        <v>14</v>
      </c>
      <c r="B26" s="115" t="s">
        <v>209</v>
      </c>
      <c r="C26" s="132">
        <v>1</v>
      </c>
      <c r="D26" s="112" t="s">
        <v>206</v>
      </c>
      <c r="E26" s="136">
        <v>54000</v>
      </c>
      <c r="F26" s="113">
        <f>C26*E26</f>
        <v>54000</v>
      </c>
      <c r="G26" s="129">
        <v>5</v>
      </c>
      <c r="H26" s="130">
        <f t="shared" ref="H26" si="3">1/G26*F26</f>
        <v>10800</v>
      </c>
      <c r="I26" s="131"/>
      <c r="J26" s="137"/>
    </row>
    <row r="27" spans="1:12" s="103" customFormat="1" x14ac:dyDescent="0.25">
      <c r="A27" s="112" t="s">
        <v>15</v>
      </c>
      <c r="B27" s="103" t="s">
        <v>71</v>
      </c>
      <c r="C27" s="112">
        <v>1</v>
      </c>
      <c r="D27" s="112" t="s">
        <v>124</v>
      </c>
      <c r="E27" s="113">
        <v>5000</v>
      </c>
      <c r="F27" s="113">
        <f>C27*E27</f>
        <v>5000</v>
      </c>
      <c r="G27" s="129">
        <v>10</v>
      </c>
      <c r="H27" s="130">
        <f t="shared" ref="H27" si="4">1/G27*F27</f>
        <v>500</v>
      </c>
      <c r="I27" s="131"/>
      <c r="J27" s="38"/>
    </row>
    <row r="28" spans="1:12" s="103" customFormat="1" x14ac:dyDescent="0.25">
      <c r="A28" s="112"/>
      <c r="B28" s="133"/>
      <c r="C28" s="112"/>
      <c r="D28" s="112"/>
      <c r="E28" s="113"/>
      <c r="F28" s="113"/>
      <c r="G28" s="129"/>
      <c r="H28" s="130"/>
      <c r="I28" s="131"/>
      <c r="J28" s="134"/>
    </row>
    <row r="29" spans="1:12" s="7" customFormat="1" x14ac:dyDescent="0.25">
      <c r="A29" s="117" t="s">
        <v>9</v>
      </c>
      <c r="B29" s="173" t="s">
        <v>207</v>
      </c>
      <c r="C29" s="173"/>
      <c r="D29" s="173"/>
      <c r="E29" s="173"/>
      <c r="F29" s="31">
        <f>SUM(F25:F28)</f>
        <v>61200</v>
      </c>
      <c r="G29" s="20"/>
      <c r="H29" s="31">
        <f>SUM(H25:H28)</f>
        <v>11520</v>
      </c>
      <c r="I29" s="53"/>
      <c r="J29" s="39"/>
    </row>
    <row r="42" spans="1:2" x14ac:dyDescent="0.25">
      <c r="A42" s="11"/>
      <c r="B42" s="11"/>
    </row>
    <row r="43" spans="1:2" x14ac:dyDescent="0.25">
      <c r="A43" s="11"/>
      <c r="B43" s="11"/>
    </row>
    <row r="44" spans="1:2" x14ac:dyDescent="0.25">
      <c r="A44" s="11"/>
      <c r="B44" s="11"/>
    </row>
    <row r="45" spans="1:2" x14ac:dyDescent="0.25">
      <c r="A45" s="11"/>
      <c r="B45" s="11"/>
    </row>
    <row r="46" spans="1:2" x14ac:dyDescent="0.25">
      <c r="A46" s="11"/>
      <c r="B46" s="11"/>
    </row>
    <row r="47" spans="1:2" x14ac:dyDescent="0.25">
      <c r="B47" s="11"/>
    </row>
  </sheetData>
  <mergeCells count="15">
    <mergeCell ref="B29:E29"/>
    <mergeCell ref="C12:D12"/>
    <mergeCell ref="B21:E21"/>
    <mergeCell ref="A5:H5"/>
    <mergeCell ref="A7:B7"/>
    <mergeCell ref="C7:H7"/>
    <mergeCell ref="A8:B8"/>
    <mergeCell ref="C8:H8"/>
    <mergeCell ref="A11:F11"/>
    <mergeCell ref="G11:H11"/>
    <mergeCell ref="A12:B12"/>
    <mergeCell ref="E12:F12"/>
    <mergeCell ref="G12:H12"/>
    <mergeCell ref="A14:F14"/>
    <mergeCell ref="G14:H14"/>
  </mergeCells>
  <dataValidations count="1">
    <dataValidation type="list" allowBlank="1" showInputMessage="1" showErrorMessage="1" sqref="G11:H11" xr:uid="{00000000-0002-0000-0000-000000000000}">
      <formula1>$J$7:$J$15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15"/>
  <sheetViews>
    <sheetView zoomScale="85" zoomScaleNormal="85" zoomScalePageLayoutView="85" workbookViewId="0">
      <pane ySplit="6" topLeftCell="A7" activePane="bottomLeft" state="frozen"/>
      <selection pane="bottomLeft" activeCell="B14" sqref="B14"/>
    </sheetView>
  </sheetViews>
  <sheetFormatPr baseColWidth="10" defaultColWidth="10.85546875" defaultRowHeight="15" x14ac:dyDescent="0.25"/>
  <cols>
    <col min="1" max="1" width="10.140625" style="9" customWidth="1"/>
    <col min="2" max="2" width="43.5703125" style="9" bestFit="1" customWidth="1"/>
    <col min="3" max="9" width="14.7109375" style="9" customWidth="1"/>
    <col min="10" max="10" width="3.42578125" style="11" customWidth="1"/>
    <col min="11" max="13" width="14.7109375" style="36" customWidth="1"/>
    <col min="14" max="14" width="53.85546875" style="49" bestFit="1" customWidth="1"/>
    <col min="15" max="15" width="19.7109375" style="9" customWidth="1"/>
    <col min="16" max="16384" width="10.85546875" style="9"/>
  </cols>
  <sheetData>
    <row r="1" spans="1:15" ht="28.5" x14ac:dyDescent="0.25">
      <c r="A1" s="26" t="s">
        <v>42</v>
      </c>
      <c r="B1" s="4"/>
      <c r="C1" s="5"/>
      <c r="D1" s="5"/>
      <c r="F1" s="10"/>
      <c r="G1" s="10"/>
      <c r="H1" s="48"/>
      <c r="I1" s="118"/>
      <c r="J1" s="73"/>
      <c r="K1" s="32"/>
      <c r="L1" s="32"/>
      <c r="M1" s="32"/>
    </row>
    <row r="2" spans="1:15" x14ac:dyDescent="0.25">
      <c r="A2" s="1"/>
      <c r="B2" s="7"/>
      <c r="C2" s="5"/>
      <c r="D2" s="5"/>
      <c r="F2" s="10"/>
      <c r="G2" s="10"/>
      <c r="H2" s="48"/>
      <c r="I2" s="118"/>
      <c r="J2" s="73"/>
      <c r="K2" s="32"/>
      <c r="L2" s="32"/>
      <c r="M2" s="32"/>
    </row>
    <row r="3" spans="1:15" ht="18.75" x14ac:dyDescent="0.25">
      <c r="A3" s="27" t="s">
        <v>53</v>
      </c>
      <c r="B3" s="4"/>
      <c r="F3" s="10"/>
      <c r="G3" s="10"/>
      <c r="H3" s="48"/>
      <c r="I3" s="118"/>
      <c r="J3" s="73"/>
      <c r="K3" s="32"/>
      <c r="L3" s="32"/>
      <c r="M3" s="32"/>
    </row>
    <row r="4" spans="1:15" ht="46.5" customHeight="1" x14ac:dyDescent="0.25">
      <c r="A4" s="188" t="s">
        <v>233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</row>
    <row r="5" spans="1:15" ht="5.25" customHeight="1" thickBot="1" x14ac:dyDescent="0.3">
      <c r="A5" s="1"/>
      <c r="B5" s="4"/>
      <c r="F5" s="10"/>
      <c r="G5" s="10"/>
      <c r="H5" s="48"/>
      <c r="I5" s="118"/>
      <c r="J5" s="73"/>
      <c r="K5" s="32"/>
      <c r="L5" s="32"/>
      <c r="M5" s="32"/>
    </row>
    <row r="6" spans="1:15" ht="16.5" thickBot="1" x14ac:dyDescent="0.3">
      <c r="A6" s="177" t="s">
        <v>36</v>
      </c>
      <c r="B6" s="178"/>
      <c r="C6" s="178"/>
      <c r="D6" s="178"/>
      <c r="E6" s="178"/>
      <c r="F6" s="182" t="s">
        <v>63</v>
      </c>
      <c r="G6" s="183"/>
      <c r="H6" s="48"/>
      <c r="I6" s="118"/>
      <c r="K6" s="33" t="s">
        <v>57</v>
      </c>
      <c r="L6" s="33"/>
      <c r="M6" s="33">
        <f>IF(F6="hebdomadaire",52,IF(F6="quincénaire",26,IF(F6="mensuel",12,IF(F6="trimestrielle (3mois)",4,IF(F6="semestre (6mois)",2,IF(F6="annuel",1,IF(F6="bimensuel (2mois)",6,1)))))))</f>
        <v>12</v>
      </c>
    </row>
    <row r="7" spans="1:15" ht="15.75" thickBot="1" x14ac:dyDescent="0.3">
      <c r="A7" s="1"/>
      <c r="B7" s="4"/>
      <c r="F7" s="10"/>
      <c r="G7" s="10"/>
      <c r="H7" s="48"/>
      <c r="I7" s="118"/>
      <c r="J7" s="73"/>
      <c r="K7" s="32"/>
      <c r="L7" s="32"/>
      <c r="M7" s="32"/>
    </row>
    <row r="8" spans="1:15" ht="18.75" x14ac:dyDescent="0.25">
      <c r="A8" s="176" t="s">
        <v>38</v>
      </c>
      <c r="B8" s="176"/>
      <c r="C8" s="176"/>
      <c r="D8" s="176"/>
      <c r="E8" s="176"/>
      <c r="F8" s="176"/>
      <c r="G8" s="176"/>
      <c r="H8" s="189" t="s">
        <v>103</v>
      </c>
      <c r="I8" s="190"/>
      <c r="J8" s="73"/>
      <c r="K8" s="34" t="s">
        <v>55</v>
      </c>
      <c r="L8" s="34" t="s">
        <v>54</v>
      </c>
      <c r="M8" s="34" t="s">
        <v>56</v>
      </c>
      <c r="N8" s="50" t="s">
        <v>100</v>
      </c>
      <c r="O8" s="44"/>
    </row>
    <row r="9" spans="1:15" ht="14.45" customHeight="1" x14ac:dyDescent="0.25">
      <c r="A9" s="6" t="s">
        <v>10</v>
      </c>
      <c r="B9" s="23" t="s">
        <v>32</v>
      </c>
      <c r="C9" s="6" t="s">
        <v>47</v>
      </c>
      <c r="D9" s="6" t="s">
        <v>3</v>
      </c>
      <c r="E9" s="6" t="s">
        <v>37</v>
      </c>
      <c r="F9" s="6" t="s">
        <v>3</v>
      </c>
      <c r="G9" s="6" t="s">
        <v>1</v>
      </c>
      <c r="H9" s="155" t="s">
        <v>107</v>
      </c>
      <c r="I9" s="138" t="s">
        <v>3</v>
      </c>
      <c r="J9" s="73"/>
      <c r="K9" s="35" t="s">
        <v>1</v>
      </c>
      <c r="L9" s="35" t="s">
        <v>1</v>
      </c>
      <c r="M9" s="35" t="s">
        <v>1</v>
      </c>
      <c r="N9" s="51"/>
    </row>
    <row r="10" spans="1:15" x14ac:dyDescent="0.25">
      <c r="A10" s="22"/>
      <c r="B10" s="22" t="s">
        <v>5</v>
      </c>
      <c r="C10" s="19"/>
      <c r="D10" s="19"/>
      <c r="E10" s="24"/>
      <c r="F10" s="24"/>
      <c r="G10" s="24"/>
      <c r="H10" s="141"/>
      <c r="I10" s="139"/>
      <c r="J10" s="73"/>
      <c r="K10" s="30"/>
      <c r="L10" s="30"/>
      <c r="M10" s="30"/>
      <c r="N10" s="52"/>
      <c r="O10" s="2"/>
    </row>
    <row r="11" spans="1:15" x14ac:dyDescent="0.25">
      <c r="A11" s="10" t="s">
        <v>17</v>
      </c>
      <c r="B11" s="9" t="s">
        <v>77</v>
      </c>
      <c r="C11" s="10">
        <v>1</v>
      </c>
      <c r="D11" s="10" t="s">
        <v>123</v>
      </c>
      <c r="E11" s="32">
        <v>1100</v>
      </c>
      <c r="F11" s="47" t="s">
        <v>68</v>
      </c>
      <c r="G11" s="32">
        <f>C11*E11</f>
        <v>1100</v>
      </c>
      <c r="H11" s="156">
        <f>G11</f>
        <v>1100</v>
      </c>
      <c r="I11" s="140" t="s">
        <v>68</v>
      </c>
      <c r="J11" s="73"/>
      <c r="K11" s="32">
        <f>H11*$M$6</f>
        <v>13200</v>
      </c>
      <c r="L11" s="32">
        <f>K11</f>
        <v>13200</v>
      </c>
      <c r="M11" s="32">
        <f>L11</f>
        <v>13200</v>
      </c>
      <c r="N11" s="49" t="s">
        <v>191</v>
      </c>
      <c r="O11" s="2"/>
    </row>
    <row r="12" spans="1:15" x14ac:dyDescent="0.25">
      <c r="A12" s="75" t="s">
        <v>18</v>
      </c>
      <c r="B12" s="9" t="s">
        <v>192</v>
      </c>
      <c r="C12" s="75">
        <v>4</v>
      </c>
      <c r="D12" s="75" t="s">
        <v>172</v>
      </c>
      <c r="E12" s="32">
        <v>175</v>
      </c>
      <c r="F12" s="75" t="s">
        <v>68</v>
      </c>
      <c r="G12" s="32">
        <f t="shared" ref="G12" si="0">C12*E12</f>
        <v>700</v>
      </c>
      <c r="H12" s="156">
        <f t="shared" ref="H12" si="1">G12</f>
        <v>700</v>
      </c>
      <c r="I12" s="140" t="s">
        <v>68</v>
      </c>
      <c r="J12" s="73"/>
      <c r="K12" s="32">
        <f>G12*$M$6</f>
        <v>8400</v>
      </c>
      <c r="L12" s="32">
        <f t="shared" ref="L12" si="2">K12</f>
        <v>8400</v>
      </c>
      <c r="M12" s="32">
        <f t="shared" ref="M12" si="3">L12</f>
        <v>8400</v>
      </c>
      <c r="N12" s="49" t="s">
        <v>193</v>
      </c>
      <c r="O12" s="2"/>
    </row>
    <row r="13" spans="1:15" x14ac:dyDescent="0.25">
      <c r="A13" s="75" t="s">
        <v>146</v>
      </c>
      <c r="B13" s="9" t="s">
        <v>113</v>
      </c>
      <c r="C13" s="55">
        <f>1/12</f>
        <v>8.3333333333333329E-2</v>
      </c>
      <c r="D13" s="48" t="s">
        <v>124</v>
      </c>
      <c r="E13" s="32">
        <v>1500</v>
      </c>
      <c r="F13" s="48" t="s">
        <v>68</v>
      </c>
      <c r="G13" s="32">
        <f t="shared" ref="G13" si="4">C13*E13</f>
        <v>125</v>
      </c>
      <c r="H13" s="156">
        <f t="shared" ref="H13" si="5">G13</f>
        <v>125</v>
      </c>
      <c r="I13" s="140" t="s">
        <v>68</v>
      </c>
      <c r="J13" s="73"/>
      <c r="K13" s="32">
        <f>G13*$M$6</f>
        <v>1500</v>
      </c>
      <c r="L13" s="32">
        <f t="shared" ref="L13:M15" si="6">K13</f>
        <v>1500</v>
      </c>
      <c r="M13" s="32">
        <f t="shared" si="6"/>
        <v>1500</v>
      </c>
      <c r="N13" s="49" t="s">
        <v>114</v>
      </c>
      <c r="O13" s="2"/>
    </row>
    <row r="14" spans="1:15" x14ac:dyDescent="0.25">
      <c r="A14" s="10"/>
      <c r="C14" s="47"/>
      <c r="D14" s="47"/>
      <c r="E14" s="32"/>
      <c r="F14" s="47"/>
      <c r="G14" s="32"/>
      <c r="H14" s="156"/>
      <c r="I14" s="157"/>
      <c r="J14" s="62"/>
      <c r="K14" s="32"/>
      <c r="L14" s="32"/>
      <c r="M14" s="32"/>
      <c r="O14" s="29"/>
    </row>
    <row r="15" spans="1:15" x14ac:dyDescent="0.25">
      <c r="A15" s="21"/>
      <c r="B15" s="22" t="s">
        <v>6</v>
      </c>
      <c r="C15" s="19"/>
      <c r="D15" s="19"/>
      <c r="E15" s="24"/>
      <c r="F15" s="24"/>
      <c r="G15" s="63"/>
      <c r="H15" s="158"/>
      <c r="I15" s="139"/>
      <c r="J15" s="73"/>
      <c r="K15" s="30">
        <f>G15*$M$6</f>
        <v>0</v>
      </c>
      <c r="L15" s="30">
        <f t="shared" si="6"/>
        <v>0</v>
      </c>
      <c r="M15" s="30">
        <f t="shared" si="6"/>
        <v>0</v>
      </c>
      <c r="N15" s="52"/>
    </row>
    <row r="16" spans="1:15" s="28" customFormat="1" x14ac:dyDescent="0.25">
      <c r="A16" s="59"/>
      <c r="B16" s="57" t="s">
        <v>101</v>
      </c>
      <c r="C16" s="58"/>
      <c r="D16" s="58"/>
      <c r="E16" s="58"/>
      <c r="F16" s="58"/>
      <c r="G16" s="58" t="s">
        <v>117</v>
      </c>
      <c r="H16" s="159" t="s">
        <v>118</v>
      </c>
      <c r="I16" s="139"/>
      <c r="J16" s="119"/>
      <c r="K16" s="60"/>
      <c r="L16" s="60"/>
      <c r="M16" s="60"/>
      <c r="N16" s="61"/>
    </row>
    <row r="17" spans="1:14" x14ac:dyDescent="0.25">
      <c r="A17" s="69" t="s">
        <v>19</v>
      </c>
      <c r="B17" s="9" t="s">
        <v>115</v>
      </c>
      <c r="C17" s="69">
        <v>35</v>
      </c>
      <c r="D17" s="69" t="s">
        <v>120</v>
      </c>
      <c r="E17" s="32">
        <v>50</v>
      </c>
      <c r="F17" s="69" t="s">
        <v>68</v>
      </c>
      <c r="G17" s="32">
        <f t="shared" ref="G17:G42" si="7">C17*E17</f>
        <v>1750</v>
      </c>
      <c r="H17" s="156">
        <f>G17*52/12</f>
        <v>7583.333333333333</v>
      </c>
      <c r="I17" s="140" t="s">
        <v>68</v>
      </c>
      <c r="J17" s="73"/>
      <c r="K17" s="32">
        <f t="shared" ref="K17:K33" si="8">H17*$M$6</f>
        <v>91000</v>
      </c>
      <c r="L17" s="32">
        <f>K17</f>
        <v>91000</v>
      </c>
      <c r="M17" s="32">
        <f>L17</f>
        <v>91000</v>
      </c>
      <c r="N17" s="49" t="s">
        <v>194</v>
      </c>
    </row>
    <row r="18" spans="1:14" x14ac:dyDescent="0.25">
      <c r="A18" s="72" t="s">
        <v>20</v>
      </c>
      <c r="B18" s="9" t="s">
        <v>73</v>
      </c>
      <c r="C18" s="69">
        <v>40</v>
      </c>
      <c r="D18" s="69" t="s">
        <v>120</v>
      </c>
      <c r="E18" s="32">
        <v>25</v>
      </c>
      <c r="F18" s="69" t="s">
        <v>68</v>
      </c>
      <c r="G18" s="32">
        <f t="shared" si="7"/>
        <v>1000</v>
      </c>
      <c r="H18" s="156">
        <f t="shared" ref="H18:H19" si="9">G18*52/12</f>
        <v>4333.333333333333</v>
      </c>
      <c r="I18" s="140" t="s">
        <v>68</v>
      </c>
      <c r="J18" s="73"/>
      <c r="K18" s="32">
        <f t="shared" si="8"/>
        <v>52000</v>
      </c>
      <c r="L18" s="32">
        <f t="shared" ref="L18:M39" si="10">K18</f>
        <v>52000</v>
      </c>
      <c r="M18" s="32">
        <f t="shared" si="10"/>
        <v>52000</v>
      </c>
      <c r="N18" s="49" t="s">
        <v>195</v>
      </c>
    </row>
    <row r="19" spans="1:14" x14ac:dyDescent="0.25">
      <c r="A19" s="72" t="s">
        <v>21</v>
      </c>
      <c r="B19" s="9" t="s">
        <v>76</v>
      </c>
      <c r="C19" s="69">
        <v>1</v>
      </c>
      <c r="D19" s="69" t="s">
        <v>128</v>
      </c>
      <c r="E19" s="32">
        <v>400</v>
      </c>
      <c r="F19" s="69" t="s">
        <v>68</v>
      </c>
      <c r="G19" s="32">
        <f>C19*E19</f>
        <v>400</v>
      </c>
      <c r="H19" s="156">
        <f t="shared" si="9"/>
        <v>1733.3333333333333</v>
      </c>
      <c r="I19" s="140" t="s">
        <v>68</v>
      </c>
      <c r="J19" s="73"/>
      <c r="K19" s="32">
        <f t="shared" si="8"/>
        <v>20800</v>
      </c>
      <c r="L19" s="32">
        <f t="shared" ref="L19:M21" si="11">K19</f>
        <v>20800</v>
      </c>
      <c r="M19" s="32">
        <f t="shared" si="11"/>
        <v>20800</v>
      </c>
      <c r="N19" s="49" t="s">
        <v>154</v>
      </c>
    </row>
    <row r="20" spans="1:14" x14ac:dyDescent="0.25">
      <c r="A20" s="72" t="s">
        <v>22</v>
      </c>
      <c r="B20" s="9" t="s">
        <v>99</v>
      </c>
      <c r="C20" s="72">
        <v>10</v>
      </c>
      <c r="D20" s="72" t="s">
        <v>122</v>
      </c>
      <c r="E20" s="32">
        <v>670</v>
      </c>
      <c r="F20" s="72" t="s">
        <v>68</v>
      </c>
      <c r="G20" s="32">
        <f t="shared" ref="G20:G25" si="12">C20*E20</f>
        <v>6700</v>
      </c>
      <c r="H20" s="156">
        <f t="shared" ref="H20:H25" si="13">G20*52/12</f>
        <v>29033.333333333332</v>
      </c>
      <c r="I20" s="140" t="s">
        <v>68</v>
      </c>
      <c r="J20" s="73"/>
      <c r="K20" s="32">
        <f t="shared" si="8"/>
        <v>348400</v>
      </c>
      <c r="L20" s="32">
        <f t="shared" si="11"/>
        <v>348400</v>
      </c>
      <c r="M20" s="32">
        <f t="shared" si="11"/>
        <v>348400</v>
      </c>
      <c r="N20" s="49" t="s">
        <v>157</v>
      </c>
    </row>
    <row r="21" spans="1:14" x14ac:dyDescent="0.25">
      <c r="A21" s="72" t="s">
        <v>23</v>
      </c>
      <c r="B21" s="9" t="s">
        <v>78</v>
      </c>
      <c r="C21" s="48">
        <v>10</v>
      </c>
      <c r="D21" s="48" t="s">
        <v>122</v>
      </c>
      <c r="E21" s="32">
        <v>1170</v>
      </c>
      <c r="F21" s="48" t="s">
        <v>68</v>
      </c>
      <c r="G21" s="32">
        <f t="shared" si="12"/>
        <v>11700</v>
      </c>
      <c r="H21" s="156">
        <f t="shared" si="13"/>
        <v>50700</v>
      </c>
      <c r="I21" s="140" t="s">
        <v>68</v>
      </c>
      <c r="J21" s="73"/>
      <c r="K21" s="32">
        <f t="shared" si="8"/>
        <v>608400</v>
      </c>
      <c r="L21" s="32">
        <f t="shared" si="11"/>
        <v>608400</v>
      </c>
      <c r="M21" s="32">
        <f t="shared" si="11"/>
        <v>608400</v>
      </c>
      <c r="N21" s="49" t="s">
        <v>157</v>
      </c>
    </row>
    <row r="22" spans="1:14" x14ac:dyDescent="0.25">
      <c r="A22" s="72" t="s">
        <v>28</v>
      </c>
      <c r="B22" s="9" t="s">
        <v>80</v>
      </c>
      <c r="C22" s="72">
        <v>10</v>
      </c>
      <c r="D22" s="72" t="s">
        <v>81</v>
      </c>
      <c r="E22" s="32">
        <v>1000</v>
      </c>
      <c r="F22" s="72" t="s">
        <v>68</v>
      </c>
      <c r="G22" s="32">
        <f t="shared" si="12"/>
        <v>10000</v>
      </c>
      <c r="H22" s="156">
        <f t="shared" si="13"/>
        <v>43333.333333333336</v>
      </c>
      <c r="I22" s="140" t="s">
        <v>68</v>
      </c>
      <c r="J22" s="73"/>
      <c r="K22" s="32">
        <f t="shared" si="8"/>
        <v>520000</v>
      </c>
      <c r="L22" s="32">
        <f t="shared" ref="L22:L31" si="14">K22</f>
        <v>520000</v>
      </c>
      <c r="M22" s="32">
        <f t="shared" ref="M22:M31" si="15">L22</f>
        <v>520000</v>
      </c>
      <c r="N22" s="49" t="s">
        <v>156</v>
      </c>
    </row>
    <row r="23" spans="1:14" x14ac:dyDescent="0.25">
      <c r="A23" s="72" t="s">
        <v>29</v>
      </c>
      <c r="B23" s="9" t="s">
        <v>82</v>
      </c>
      <c r="C23" s="72">
        <v>2</v>
      </c>
      <c r="D23" s="72" t="s">
        <v>121</v>
      </c>
      <c r="E23" s="32">
        <v>270</v>
      </c>
      <c r="F23" s="72" t="s">
        <v>68</v>
      </c>
      <c r="G23" s="32">
        <f t="shared" si="12"/>
        <v>540</v>
      </c>
      <c r="H23" s="156">
        <f t="shared" si="13"/>
        <v>2340</v>
      </c>
      <c r="I23" s="140" t="s">
        <v>68</v>
      </c>
      <c r="J23" s="73"/>
      <c r="K23" s="32">
        <f t="shared" si="8"/>
        <v>28080</v>
      </c>
      <c r="L23" s="32">
        <f t="shared" si="14"/>
        <v>28080</v>
      </c>
      <c r="M23" s="32">
        <f t="shared" si="15"/>
        <v>28080</v>
      </c>
      <c r="N23" s="49" t="s">
        <v>156</v>
      </c>
    </row>
    <row r="24" spans="1:14" x14ac:dyDescent="0.25">
      <c r="A24" s="72" t="s">
        <v>30</v>
      </c>
      <c r="B24" s="9" t="s">
        <v>98</v>
      </c>
      <c r="C24" s="72">
        <v>5</v>
      </c>
      <c r="D24" s="72" t="s">
        <v>122</v>
      </c>
      <c r="E24" s="32">
        <v>1400</v>
      </c>
      <c r="F24" s="72" t="s">
        <v>68</v>
      </c>
      <c r="G24" s="32">
        <f t="shared" si="12"/>
        <v>7000</v>
      </c>
      <c r="H24" s="156">
        <f t="shared" si="13"/>
        <v>30333.333333333332</v>
      </c>
      <c r="I24" s="140" t="s">
        <v>68</v>
      </c>
      <c r="J24" s="73"/>
      <c r="K24" s="32">
        <f t="shared" si="8"/>
        <v>364000</v>
      </c>
      <c r="L24" s="32">
        <f t="shared" si="14"/>
        <v>364000</v>
      </c>
      <c r="M24" s="32">
        <f t="shared" si="15"/>
        <v>364000</v>
      </c>
      <c r="N24" s="49" t="s">
        <v>157</v>
      </c>
    </row>
    <row r="25" spans="1:14" x14ac:dyDescent="0.25">
      <c r="A25" s="72" t="s">
        <v>83</v>
      </c>
      <c r="B25" s="9" t="s">
        <v>161</v>
      </c>
      <c r="C25" s="72">
        <v>6</v>
      </c>
      <c r="D25" s="75" t="s">
        <v>122</v>
      </c>
      <c r="E25" s="32">
        <v>900</v>
      </c>
      <c r="F25" s="72" t="s">
        <v>68</v>
      </c>
      <c r="G25" s="32">
        <f t="shared" si="12"/>
        <v>5400</v>
      </c>
      <c r="H25" s="156">
        <f t="shared" si="13"/>
        <v>23400</v>
      </c>
      <c r="I25" s="140" t="s">
        <v>68</v>
      </c>
      <c r="J25" s="73"/>
      <c r="K25" s="32">
        <f t="shared" si="8"/>
        <v>280800</v>
      </c>
      <c r="L25" s="32">
        <f t="shared" si="14"/>
        <v>280800</v>
      </c>
      <c r="M25" s="32">
        <f t="shared" si="15"/>
        <v>280800</v>
      </c>
      <c r="N25" s="49" t="s">
        <v>156</v>
      </c>
    </row>
    <row r="26" spans="1:14" x14ac:dyDescent="0.25">
      <c r="A26" s="72" t="s">
        <v>85</v>
      </c>
      <c r="B26" s="9" t="s">
        <v>131</v>
      </c>
      <c r="C26" s="72">
        <v>4</v>
      </c>
      <c r="D26" s="72" t="s">
        <v>132</v>
      </c>
      <c r="E26" s="32">
        <v>1200</v>
      </c>
      <c r="F26" s="72" t="s">
        <v>68</v>
      </c>
      <c r="G26" s="32">
        <f t="shared" ref="G26:G31" si="16">C26*E26</f>
        <v>4800</v>
      </c>
      <c r="H26" s="156">
        <f t="shared" ref="H26:H31" si="17">G26*52/12</f>
        <v>20800</v>
      </c>
      <c r="I26" s="140" t="s">
        <v>68</v>
      </c>
      <c r="J26" s="73"/>
      <c r="K26" s="32">
        <f t="shared" si="8"/>
        <v>249600</v>
      </c>
      <c r="L26" s="32">
        <f t="shared" ref="L26:L29" si="18">K26</f>
        <v>249600</v>
      </c>
      <c r="M26" s="32">
        <f t="shared" ref="M26:M29" si="19">L26</f>
        <v>249600</v>
      </c>
      <c r="N26" s="49" t="s">
        <v>156</v>
      </c>
    </row>
    <row r="27" spans="1:14" x14ac:dyDescent="0.25">
      <c r="A27" s="72" t="s">
        <v>88</v>
      </c>
      <c r="B27" s="9" t="s">
        <v>162</v>
      </c>
      <c r="C27" s="72">
        <v>1</v>
      </c>
      <c r="D27" s="72" t="s">
        <v>136</v>
      </c>
      <c r="E27" s="32">
        <v>2400</v>
      </c>
      <c r="F27" s="72" t="s">
        <v>68</v>
      </c>
      <c r="G27" s="32">
        <f t="shared" si="16"/>
        <v>2400</v>
      </c>
      <c r="H27" s="156">
        <f t="shared" si="17"/>
        <v>10400</v>
      </c>
      <c r="I27" s="140" t="s">
        <v>68</v>
      </c>
      <c r="J27" s="73"/>
      <c r="K27" s="32">
        <f t="shared" si="8"/>
        <v>124800</v>
      </c>
      <c r="L27" s="32">
        <f t="shared" si="18"/>
        <v>124800</v>
      </c>
      <c r="M27" s="32">
        <f t="shared" si="19"/>
        <v>124800</v>
      </c>
    </row>
    <row r="28" spans="1:14" x14ac:dyDescent="0.25">
      <c r="A28" s="72" t="s">
        <v>89</v>
      </c>
      <c r="B28" s="9" t="s">
        <v>129</v>
      </c>
      <c r="C28" s="72">
        <v>40</v>
      </c>
      <c r="D28" s="72" t="s">
        <v>120</v>
      </c>
      <c r="E28" s="32">
        <f>1150/5</f>
        <v>230</v>
      </c>
      <c r="F28" s="72" t="s">
        <v>68</v>
      </c>
      <c r="G28" s="32">
        <f t="shared" si="16"/>
        <v>9200</v>
      </c>
      <c r="H28" s="156">
        <f t="shared" si="17"/>
        <v>39866.666666666664</v>
      </c>
      <c r="I28" s="140" t="s">
        <v>68</v>
      </c>
      <c r="J28" s="73"/>
      <c r="K28" s="32">
        <f t="shared" si="8"/>
        <v>478400</v>
      </c>
      <c r="L28" s="32">
        <f t="shared" si="18"/>
        <v>478400</v>
      </c>
      <c r="M28" s="32">
        <f t="shared" si="19"/>
        <v>478400</v>
      </c>
      <c r="N28" s="49" t="s">
        <v>159</v>
      </c>
    </row>
    <row r="29" spans="1:14" x14ac:dyDescent="0.25">
      <c r="A29" s="72" t="s">
        <v>90</v>
      </c>
      <c r="B29" s="9" t="s">
        <v>134</v>
      </c>
      <c r="C29" s="72">
        <v>6</v>
      </c>
      <c r="D29" s="72" t="s">
        <v>133</v>
      </c>
      <c r="E29" s="32">
        <v>200</v>
      </c>
      <c r="F29" s="72" t="s">
        <v>68</v>
      </c>
      <c r="G29" s="32">
        <f t="shared" si="16"/>
        <v>1200</v>
      </c>
      <c r="H29" s="156">
        <f t="shared" si="17"/>
        <v>5200</v>
      </c>
      <c r="I29" s="140" t="s">
        <v>68</v>
      </c>
      <c r="J29" s="73"/>
      <c r="K29" s="32">
        <f t="shared" si="8"/>
        <v>62400</v>
      </c>
      <c r="L29" s="32">
        <f t="shared" si="18"/>
        <v>62400</v>
      </c>
      <c r="M29" s="32">
        <f t="shared" si="19"/>
        <v>62400</v>
      </c>
      <c r="N29" s="49" t="s">
        <v>156</v>
      </c>
    </row>
    <row r="30" spans="1:14" x14ac:dyDescent="0.25">
      <c r="A30" s="72" t="s">
        <v>91</v>
      </c>
      <c r="B30" s="9" t="s">
        <v>130</v>
      </c>
      <c r="C30" s="72">
        <v>2</v>
      </c>
      <c r="D30" s="72" t="s">
        <v>135</v>
      </c>
      <c r="E30" s="32">
        <v>320</v>
      </c>
      <c r="F30" s="72" t="s">
        <v>68</v>
      </c>
      <c r="G30" s="32">
        <f t="shared" si="16"/>
        <v>640</v>
      </c>
      <c r="H30" s="156">
        <f t="shared" si="17"/>
        <v>2773.3333333333335</v>
      </c>
      <c r="I30" s="140" t="s">
        <v>68</v>
      </c>
      <c r="J30" s="73"/>
      <c r="K30" s="32">
        <f t="shared" si="8"/>
        <v>33280</v>
      </c>
      <c r="L30" s="32">
        <f t="shared" ref="L30" si="20">K30</f>
        <v>33280</v>
      </c>
      <c r="M30" s="32">
        <f t="shared" ref="M30" si="21">L30</f>
        <v>33280</v>
      </c>
      <c r="N30" s="49" t="s">
        <v>156</v>
      </c>
    </row>
    <row r="31" spans="1:14" x14ac:dyDescent="0.25">
      <c r="A31" s="72" t="s">
        <v>92</v>
      </c>
      <c r="B31" s="9" t="s">
        <v>79</v>
      </c>
      <c r="C31" s="72">
        <v>0</v>
      </c>
      <c r="D31" s="72" t="s">
        <v>128</v>
      </c>
      <c r="E31" s="32">
        <v>0</v>
      </c>
      <c r="F31" s="72" t="s">
        <v>68</v>
      </c>
      <c r="G31" s="32">
        <f t="shared" si="16"/>
        <v>0</v>
      </c>
      <c r="H31" s="156">
        <f t="shared" si="17"/>
        <v>0</v>
      </c>
      <c r="I31" s="140" t="s">
        <v>68</v>
      </c>
      <c r="J31" s="73"/>
      <c r="K31" s="32">
        <f t="shared" si="8"/>
        <v>0</v>
      </c>
      <c r="L31" s="32">
        <f t="shared" si="14"/>
        <v>0</v>
      </c>
      <c r="M31" s="32">
        <f t="shared" si="15"/>
        <v>0</v>
      </c>
      <c r="N31" s="49" t="s">
        <v>163</v>
      </c>
    </row>
    <row r="32" spans="1:14" ht="30" x14ac:dyDescent="0.25">
      <c r="A32" s="116" t="s">
        <v>93</v>
      </c>
      <c r="B32" s="103" t="s">
        <v>196</v>
      </c>
      <c r="C32" s="116">
        <v>20</v>
      </c>
      <c r="D32" s="116" t="s">
        <v>120</v>
      </c>
      <c r="E32" s="32">
        <v>40</v>
      </c>
      <c r="F32" s="116" t="s">
        <v>68</v>
      </c>
      <c r="G32" s="32">
        <f t="shared" ref="G32" si="22">C32*E32</f>
        <v>800</v>
      </c>
      <c r="H32" s="156">
        <f t="shared" ref="H32" si="23">G32*52/12</f>
        <v>3466.6666666666665</v>
      </c>
      <c r="I32" s="140" t="s">
        <v>68</v>
      </c>
      <c r="J32" s="73"/>
      <c r="K32" s="32">
        <f t="shared" si="8"/>
        <v>41600</v>
      </c>
      <c r="L32" s="32">
        <f t="shared" ref="L32" si="24">K32</f>
        <v>41600</v>
      </c>
      <c r="M32" s="32">
        <f t="shared" ref="M32" si="25">L32</f>
        <v>41600</v>
      </c>
      <c r="N32" s="49" t="s">
        <v>197</v>
      </c>
    </row>
    <row r="33" spans="1:16" x14ac:dyDescent="0.25">
      <c r="A33" s="72" t="s">
        <v>94</v>
      </c>
      <c r="B33" s="9" t="s">
        <v>112</v>
      </c>
      <c r="C33" s="72">
        <v>1</v>
      </c>
      <c r="D33" s="72" t="s">
        <v>124</v>
      </c>
      <c r="E33" s="62">
        <f>ROUNDUP(SUM(C52:C66)/2,-1)</f>
        <v>910</v>
      </c>
      <c r="F33" s="72" t="s">
        <v>68</v>
      </c>
      <c r="G33" s="32">
        <f t="shared" ref="G33" si="26">C33*E33</f>
        <v>910</v>
      </c>
      <c r="H33" s="156">
        <f t="shared" ref="H33" si="27">G33*52/12</f>
        <v>3943.3333333333335</v>
      </c>
      <c r="I33" s="140" t="s">
        <v>68</v>
      </c>
      <c r="J33" s="73"/>
      <c r="K33" s="32">
        <f t="shared" si="8"/>
        <v>47320</v>
      </c>
      <c r="L33" s="32">
        <f>K33</f>
        <v>47320</v>
      </c>
      <c r="M33" s="32">
        <f>L33</f>
        <v>47320</v>
      </c>
    </row>
    <row r="34" spans="1:16" x14ac:dyDescent="0.25">
      <c r="A34" s="72"/>
      <c r="C34" s="72"/>
      <c r="D34" s="72"/>
      <c r="E34" s="32"/>
      <c r="F34" s="72"/>
      <c r="G34" s="32"/>
      <c r="H34" s="156"/>
      <c r="I34" s="160"/>
      <c r="J34" s="73"/>
      <c r="K34" s="32"/>
      <c r="L34" s="32"/>
      <c r="M34" s="32"/>
    </row>
    <row r="35" spans="1:16" s="28" customFormat="1" x14ac:dyDescent="0.25">
      <c r="A35" s="59"/>
      <c r="B35" s="57" t="s">
        <v>102</v>
      </c>
      <c r="C35" s="58"/>
      <c r="D35" s="58"/>
      <c r="E35" s="58"/>
      <c r="F35" s="58"/>
      <c r="G35" s="58" t="s">
        <v>103</v>
      </c>
      <c r="H35" s="159" t="s">
        <v>103</v>
      </c>
      <c r="I35" s="161"/>
      <c r="J35" s="119"/>
      <c r="K35" s="60"/>
      <c r="L35" s="60"/>
      <c r="M35" s="60"/>
      <c r="N35" s="61"/>
    </row>
    <row r="36" spans="1:16" x14ac:dyDescent="0.25">
      <c r="A36" s="72" t="s">
        <v>111</v>
      </c>
      <c r="B36" s="9" t="s">
        <v>198</v>
      </c>
      <c r="C36" s="72">
        <v>1</v>
      </c>
      <c r="D36" s="72" t="s">
        <v>124</v>
      </c>
      <c r="E36" s="62">
        <v>4000</v>
      </c>
      <c r="F36" s="72" t="s">
        <v>68</v>
      </c>
      <c r="G36" s="32">
        <f>C36*E36</f>
        <v>4000</v>
      </c>
      <c r="H36" s="156">
        <f t="shared" ref="H36" si="28">G36</f>
        <v>4000</v>
      </c>
      <c r="I36" s="140" t="s">
        <v>68</v>
      </c>
      <c r="J36" s="73"/>
      <c r="K36" s="32">
        <f t="shared" ref="K36:K42" si="29">H36*$M$6</f>
        <v>48000</v>
      </c>
      <c r="L36" s="32">
        <f t="shared" ref="L36" si="30">K36</f>
        <v>48000</v>
      </c>
      <c r="M36" s="32">
        <f t="shared" ref="M36" si="31">L36</f>
        <v>48000</v>
      </c>
    </row>
    <row r="37" spans="1:16" x14ac:dyDescent="0.25">
      <c r="A37" s="72" t="s">
        <v>137</v>
      </c>
      <c r="B37" s="9" t="s">
        <v>228</v>
      </c>
      <c r="C37" s="47">
        <v>20</v>
      </c>
      <c r="D37" s="73" t="s">
        <v>127</v>
      </c>
      <c r="E37" s="32">
        <v>180</v>
      </c>
      <c r="F37" s="47" t="s">
        <v>68</v>
      </c>
      <c r="G37" s="32">
        <f t="shared" si="7"/>
        <v>3600</v>
      </c>
      <c r="H37" s="156">
        <f t="shared" ref="H37:H42" si="32">G37</f>
        <v>3600</v>
      </c>
      <c r="I37" s="140" t="s">
        <v>68</v>
      </c>
      <c r="J37" s="73"/>
      <c r="K37" s="32">
        <f t="shared" si="29"/>
        <v>43200</v>
      </c>
      <c r="L37" s="32">
        <f t="shared" si="10"/>
        <v>43200</v>
      </c>
      <c r="M37" s="32">
        <f t="shared" si="10"/>
        <v>43200</v>
      </c>
      <c r="N37" s="49" t="s">
        <v>170</v>
      </c>
    </row>
    <row r="38" spans="1:16" x14ac:dyDescent="0.25">
      <c r="A38" s="72" t="s">
        <v>138</v>
      </c>
      <c r="B38" s="9" t="s">
        <v>229</v>
      </c>
      <c r="C38" s="47">
        <v>20</v>
      </c>
      <c r="D38" s="73" t="s">
        <v>127</v>
      </c>
      <c r="E38" s="32">
        <v>180</v>
      </c>
      <c r="F38" s="47" t="s">
        <v>68</v>
      </c>
      <c r="G38" s="32">
        <f t="shared" si="7"/>
        <v>3600</v>
      </c>
      <c r="H38" s="156">
        <f t="shared" si="32"/>
        <v>3600</v>
      </c>
      <c r="I38" s="140" t="s">
        <v>68</v>
      </c>
      <c r="J38" s="73"/>
      <c r="K38" s="32">
        <f t="shared" si="29"/>
        <v>43200</v>
      </c>
      <c r="L38" s="32">
        <f t="shared" si="10"/>
        <v>43200</v>
      </c>
      <c r="M38" s="32">
        <f t="shared" si="10"/>
        <v>43200</v>
      </c>
    </row>
    <row r="39" spans="1:16" x14ac:dyDescent="0.25">
      <c r="A39" s="72" t="s">
        <v>139</v>
      </c>
      <c r="B39" s="9" t="s">
        <v>230</v>
      </c>
      <c r="C39" s="48">
        <v>24</v>
      </c>
      <c r="D39" s="73" t="s">
        <v>127</v>
      </c>
      <c r="E39" s="32">
        <f>360/12</f>
        <v>30</v>
      </c>
      <c r="F39" s="48" t="s">
        <v>68</v>
      </c>
      <c r="G39" s="32">
        <f t="shared" si="7"/>
        <v>720</v>
      </c>
      <c r="H39" s="156">
        <f t="shared" si="32"/>
        <v>720</v>
      </c>
      <c r="I39" s="140" t="s">
        <v>68</v>
      </c>
      <c r="J39" s="73"/>
      <c r="K39" s="32">
        <f t="shared" si="29"/>
        <v>8640</v>
      </c>
      <c r="L39" s="32">
        <f t="shared" si="10"/>
        <v>8640</v>
      </c>
      <c r="M39" s="32">
        <f t="shared" si="10"/>
        <v>8640</v>
      </c>
      <c r="N39" s="49" t="s">
        <v>199</v>
      </c>
    </row>
    <row r="40" spans="1:16" x14ac:dyDescent="0.25">
      <c r="A40" s="72" t="s">
        <v>140</v>
      </c>
      <c r="B40" s="9" t="s">
        <v>231</v>
      </c>
      <c r="C40" s="69">
        <v>24</v>
      </c>
      <c r="D40" s="73" t="s">
        <v>127</v>
      </c>
      <c r="E40" s="32">
        <v>300</v>
      </c>
      <c r="F40" s="69" t="s">
        <v>68</v>
      </c>
      <c r="G40" s="32">
        <f t="shared" si="7"/>
        <v>7200</v>
      </c>
      <c r="H40" s="156">
        <f t="shared" si="32"/>
        <v>7200</v>
      </c>
      <c r="I40" s="140" t="s">
        <v>68</v>
      </c>
      <c r="J40" s="73"/>
      <c r="K40" s="32">
        <f t="shared" si="29"/>
        <v>86400</v>
      </c>
      <c r="L40" s="32">
        <f t="shared" ref="L40" si="33">K40</f>
        <v>86400</v>
      </c>
      <c r="M40" s="32">
        <f t="shared" ref="M40" si="34">L40</f>
        <v>86400</v>
      </c>
    </row>
    <row r="41" spans="1:16" x14ac:dyDescent="0.25">
      <c r="A41" s="72" t="s">
        <v>141</v>
      </c>
      <c r="B41" s="9" t="s">
        <v>232</v>
      </c>
      <c r="C41" s="48">
        <v>1</v>
      </c>
      <c r="D41" s="48" t="s">
        <v>128</v>
      </c>
      <c r="E41" s="32">
        <v>300</v>
      </c>
      <c r="F41" s="48" t="s">
        <v>68</v>
      </c>
      <c r="G41" s="32">
        <f t="shared" si="7"/>
        <v>300</v>
      </c>
      <c r="H41" s="156">
        <f t="shared" si="32"/>
        <v>300</v>
      </c>
      <c r="I41" s="140" t="s">
        <v>68</v>
      </c>
      <c r="J41" s="73"/>
      <c r="K41" s="32">
        <f t="shared" si="29"/>
        <v>3600</v>
      </c>
      <c r="L41" s="32">
        <f t="shared" ref="L41:L42" si="35">K41</f>
        <v>3600</v>
      </c>
      <c r="M41" s="32">
        <f t="shared" ref="M41:M42" si="36">L41</f>
        <v>3600</v>
      </c>
      <c r="N41" s="49" t="s">
        <v>171</v>
      </c>
      <c r="O41" s="29"/>
    </row>
    <row r="42" spans="1:16" x14ac:dyDescent="0.25">
      <c r="A42" s="72" t="s">
        <v>142</v>
      </c>
      <c r="B42" s="9" t="s">
        <v>112</v>
      </c>
      <c r="C42" s="48">
        <v>1</v>
      </c>
      <c r="D42" s="48" t="s">
        <v>124</v>
      </c>
      <c r="E42" s="62">
        <f>ROUNDUP(SUM(C37:C40)*2,-1)</f>
        <v>180</v>
      </c>
      <c r="F42" s="48" t="s">
        <v>68</v>
      </c>
      <c r="G42" s="32">
        <f t="shared" si="7"/>
        <v>180</v>
      </c>
      <c r="H42" s="156">
        <f t="shared" si="32"/>
        <v>180</v>
      </c>
      <c r="I42" s="140" t="s">
        <v>68</v>
      </c>
      <c r="J42" s="73"/>
      <c r="K42" s="32">
        <f t="shared" si="29"/>
        <v>2160</v>
      </c>
      <c r="L42" s="32">
        <f t="shared" si="35"/>
        <v>2160</v>
      </c>
      <c r="M42" s="32">
        <f t="shared" si="36"/>
        <v>2160</v>
      </c>
      <c r="O42" s="2"/>
    </row>
    <row r="43" spans="1:16" x14ac:dyDescent="0.25">
      <c r="A43" s="10"/>
      <c r="C43" s="10"/>
      <c r="D43" s="10"/>
      <c r="E43" s="32"/>
      <c r="F43" s="10"/>
      <c r="G43" s="32"/>
      <c r="H43" s="156"/>
      <c r="I43" s="160"/>
      <c r="J43" s="73"/>
      <c r="K43" s="32"/>
      <c r="L43" s="32"/>
      <c r="M43" s="32"/>
    </row>
    <row r="44" spans="1:16" x14ac:dyDescent="0.25">
      <c r="A44" s="21"/>
      <c r="B44" s="127" t="s">
        <v>210</v>
      </c>
      <c r="C44" s="19"/>
      <c r="D44" s="19"/>
      <c r="E44" s="24"/>
      <c r="F44" s="24"/>
      <c r="G44" s="24"/>
      <c r="H44" s="141"/>
      <c r="I44" s="139"/>
      <c r="J44" s="118"/>
      <c r="K44" s="30"/>
      <c r="L44" s="30"/>
      <c r="M44" s="30"/>
      <c r="N44" s="52"/>
      <c r="O44" s="2"/>
    </row>
    <row r="45" spans="1:16" s="125" customFormat="1" x14ac:dyDescent="0.25">
      <c r="A45" s="142" t="s">
        <v>28</v>
      </c>
      <c r="B45" s="143" t="s">
        <v>192</v>
      </c>
      <c r="C45" s="142">
        <v>4</v>
      </c>
      <c r="D45" s="142" t="s">
        <v>172</v>
      </c>
      <c r="E45" s="144">
        <v>175</v>
      </c>
      <c r="F45" s="142" t="s">
        <v>68</v>
      </c>
      <c r="G45" s="144">
        <v>700</v>
      </c>
      <c r="H45" s="145"/>
      <c r="I45" s="146" t="s">
        <v>68</v>
      </c>
      <c r="J45" s="147"/>
      <c r="K45" s="144">
        <v>0</v>
      </c>
      <c r="L45" s="144">
        <f>G45*$M$6</f>
        <v>8400</v>
      </c>
      <c r="M45" s="144">
        <f t="shared" ref="M45" si="37">L45</f>
        <v>8400</v>
      </c>
      <c r="N45" s="148" t="s">
        <v>211</v>
      </c>
      <c r="P45" s="149"/>
    </row>
    <row r="46" spans="1:16" x14ac:dyDescent="0.25">
      <c r="A46" s="118"/>
      <c r="C46" s="118"/>
      <c r="D46" s="118"/>
      <c r="E46" s="32"/>
      <c r="F46" s="118"/>
      <c r="G46" s="32"/>
      <c r="H46" s="150"/>
      <c r="I46" s="140"/>
      <c r="J46" s="118"/>
      <c r="K46" s="32"/>
      <c r="L46" s="32"/>
      <c r="M46" s="32"/>
    </row>
    <row r="47" spans="1:16" s="7" customFormat="1" x14ac:dyDescent="0.25">
      <c r="A47" s="25" t="s">
        <v>7</v>
      </c>
      <c r="B47" s="173" t="s">
        <v>0</v>
      </c>
      <c r="C47" s="173"/>
      <c r="D47" s="173"/>
      <c r="E47" s="173"/>
      <c r="F47" s="173"/>
      <c r="G47" s="31"/>
      <c r="H47" s="162">
        <f>SUM(H10:H46)</f>
        <v>300765</v>
      </c>
      <c r="I47" s="163"/>
      <c r="J47" s="120"/>
      <c r="K47" s="31">
        <f>SUM(K10:K46)</f>
        <v>3609180</v>
      </c>
      <c r="L47" s="31">
        <f>SUM(L10:L46)</f>
        <v>3617580</v>
      </c>
      <c r="M47" s="31">
        <f>SUM(M10:M46)</f>
        <v>3617580</v>
      </c>
      <c r="N47" s="53"/>
    </row>
    <row r="48" spans="1:16" ht="24" customHeight="1" x14ac:dyDescent="0.25">
      <c r="G48" s="44"/>
      <c r="H48" s="164"/>
      <c r="I48" s="165"/>
      <c r="J48" s="73"/>
      <c r="K48" s="44"/>
      <c r="L48" s="44"/>
    </row>
    <row r="49" spans="1:14" ht="18.75" x14ac:dyDescent="0.25">
      <c r="A49" s="176" t="s">
        <v>39</v>
      </c>
      <c r="B49" s="176"/>
      <c r="C49" s="176"/>
      <c r="D49" s="176"/>
      <c r="E49" s="176"/>
      <c r="F49" s="176"/>
      <c r="G49" s="176"/>
      <c r="H49" s="166"/>
      <c r="I49" s="167"/>
      <c r="J49" s="73"/>
      <c r="K49" s="34" t="s">
        <v>55</v>
      </c>
      <c r="L49" s="34" t="s">
        <v>54</v>
      </c>
      <c r="M49" s="34" t="s">
        <v>56</v>
      </c>
      <c r="N49" s="50"/>
    </row>
    <row r="50" spans="1:14" x14ac:dyDescent="0.25">
      <c r="A50" s="6" t="s">
        <v>11</v>
      </c>
      <c r="B50" s="6" t="s">
        <v>40</v>
      </c>
      <c r="C50" s="6" t="s">
        <v>47</v>
      </c>
      <c r="D50" s="6" t="s">
        <v>3</v>
      </c>
      <c r="E50" s="6" t="s">
        <v>41</v>
      </c>
      <c r="F50" s="6" t="s">
        <v>3</v>
      </c>
      <c r="G50" s="6" t="s">
        <v>1</v>
      </c>
      <c r="H50" s="155" t="s">
        <v>107</v>
      </c>
      <c r="I50" s="138" t="s">
        <v>3</v>
      </c>
      <c r="J50" s="73"/>
      <c r="K50" s="35" t="s">
        <v>1</v>
      </c>
      <c r="L50" s="35" t="s">
        <v>1</v>
      </c>
      <c r="M50" s="35" t="s">
        <v>1</v>
      </c>
      <c r="N50" s="51"/>
    </row>
    <row r="51" spans="1:14" s="28" customFormat="1" x14ac:dyDescent="0.25">
      <c r="A51" s="59"/>
      <c r="B51" s="57" t="s">
        <v>105</v>
      </c>
      <c r="C51" s="58"/>
      <c r="D51" s="58"/>
      <c r="E51" s="58"/>
      <c r="F51" s="58"/>
      <c r="G51" s="58" t="s">
        <v>104</v>
      </c>
      <c r="H51" s="159" t="s">
        <v>103</v>
      </c>
      <c r="I51" s="161"/>
      <c r="J51" s="119"/>
      <c r="K51" s="60"/>
      <c r="L51" s="60"/>
      <c r="M51" s="60"/>
      <c r="N51" s="61"/>
    </row>
    <row r="52" spans="1:14" x14ac:dyDescent="0.25">
      <c r="A52" s="69" t="s">
        <v>24</v>
      </c>
      <c r="B52" s="9" t="s">
        <v>72</v>
      </c>
      <c r="C52" s="69">
        <f>C17</f>
        <v>35</v>
      </c>
      <c r="D52" s="69" t="str">
        <f>D17</f>
        <v>kg</v>
      </c>
      <c r="E52" s="32">
        <v>60</v>
      </c>
      <c r="F52" s="69" t="s">
        <v>68</v>
      </c>
      <c r="G52" s="32">
        <f t="shared" ref="G52" si="38">C52*E52</f>
        <v>2100</v>
      </c>
      <c r="H52" s="156">
        <f>G52*52/12</f>
        <v>9100</v>
      </c>
      <c r="I52" s="160" t="s">
        <v>68</v>
      </c>
      <c r="J52" s="73"/>
      <c r="K52" s="32">
        <f t="shared" ref="K52:K65" si="39">H52*$M$6</f>
        <v>109200</v>
      </c>
      <c r="L52" s="32">
        <f t="shared" ref="L52:M52" si="40">K52</f>
        <v>109200</v>
      </c>
      <c r="M52" s="32">
        <f t="shared" si="40"/>
        <v>109200</v>
      </c>
    </row>
    <row r="53" spans="1:14" x14ac:dyDescent="0.25">
      <c r="A53" s="72" t="s">
        <v>25</v>
      </c>
      <c r="B53" s="9" t="s">
        <v>73</v>
      </c>
      <c r="C53" s="72">
        <f>C18</f>
        <v>40</v>
      </c>
      <c r="D53" s="69" t="str">
        <f>D18</f>
        <v>kg</v>
      </c>
      <c r="E53" s="32">
        <v>40</v>
      </c>
      <c r="F53" s="69" t="s">
        <v>68</v>
      </c>
      <c r="G53" s="32">
        <f t="shared" ref="G53:G65" si="41">C53*E53</f>
        <v>1600</v>
      </c>
      <c r="H53" s="156">
        <f t="shared" ref="H53:H65" si="42">G53*52/12</f>
        <v>6933.333333333333</v>
      </c>
      <c r="I53" s="160" t="s">
        <v>68</v>
      </c>
      <c r="J53" s="73"/>
      <c r="K53" s="32">
        <f t="shared" si="39"/>
        <v>83200</v>
      </c>
      <c r="L53" s="32">
        <f t="shared" ref="L53:M53" si="43">K53</f>
        <v>83200</v>
      </c>
      <c r="M53" s="32">
        <f t="shared" si="43"/>
        <v>83200</v>
      </c>
    </row>
    <row r="54" spans="1:14" x14ac:dyDescent="0.25">
      <c r="A54" s="72" t="s">
        <v>26</v>
      </c>
      <c r="B54" s="9" t="s">
        <v>99</v>
      </c>
      <c r="C54" s="56">
        <f>C20</f>
        <v>10</v>
      </c>
      <c r="D54" s="48" t="s">
        <v>120</v>
      </c>
      <c r="E54" s="32">
        <v>790</v>
      </c>
      <c r="F54" s="48" t="s">
        <v>68</v>
      </c>
      <c r="G54" s="32">
        <f t="shared" si="41"/>
        <v>7900</v>
      </c>
      <c r="H54" s="156">
        <f t="shared" si="42"/>
        <v>34233.333333333336</v>
      </c>
      <c r="I54" s="160" t="s">
        <v>68</v>
      </c>
      <c r="J54" s="73"/>
      <c r="K54" s="32">
        <f t="shared" si="39"/>
        <v>410800</v>
      </c>
      <c r="L54" s="32">
        <f>K54</f>
        <v>410800</v>
      </c>
      <c r="M54" s="32">
        <f>L54</f>
        <v>410800</v>
      </c>
    </row>
    <row r="55" spans="1:14" x14ac:dyDescent="0.25">
      <c r="A55" s="72" t="s">
        <v>74</v>
      </c>
      <c r="B55" s="9" t="s">
        <v>78</v>
      </c>
      <c r="C55" s="48">
        <f>C21*50</f>
        <v>500</v>
      </c>
      <c r="D55" s="48" t="s">
        <v>120</v>
      </c>
      <c r="E55" s="32">
        <v>25</v>
      </c>
      <c r="F55" s="48" t="s">
        <v>68</v>
      </c>
      <c r="G55" s="32">
        <f t="shared" si="41"/>
        <v>12500</v>
      </c>
      <c r="H55" s="156">
        <f t="shared" si="42"/>
        <v>54166.666666666664</v>
      </c>
      <c r="I55" s="160" t="s">
        <v>68</v>
      </c>
      <c r="J55" s="73"/>
      <c r="K55" s="32">
        <f t="shared" si="39"/>
        <v>650000</v>
      </c>
      <c r="L55" s="32">
        <f t="shared" ref="L55:M60" si="44">K55</f>
        <v>650000</v>
      </c>
      <c r="M55" s="32">
        <f t="shared" si="44"/>
        <v>650000</v>
      </c>
    </row>
    <row r="56" spans="1:14" x14ac:dyDescent="0.25">
      <c r="A56" s="72" t="s">
        <v>75</v>
      </c>
      <c r="B56" s="9" t="s">
        <v>80</v>
      </c>
      <c r="C56" s="48">
        <f>C22</f>
        <v>10</v>
      </c>
      <c r="D56" s="48" t="s">
        <v>126</v>
      </c>
      <c r="E56" s="32">
        <v>1200</v>
      </c>
      <c r="F56" s="48" t="s">
        <v>68</v>
      </c>
      <c r="G56" s="32">
        <f t="shared" si="41"/>
        <v>12000</v>
      </c>
      <c r="H56" s="156">
        <f t="shared" si="42"/>
        <v>52000</v>
      </c>
      <c r="I56" s="160" t="s">
        <v>68</v>
      </c>
      <c r="J56" s="73"/>
      <c r="K56" s="32">
        <f t="shared" si="39"/>
        <v>624000</v>
      </c>
      <c r="L56" s="32">
        <f t="shared" si="44"/>
        <v>624000</v>
      </c>
      <c r="M56" s="32">
        <f t="shared" si="44"/>
        <v>624000</v>
      </c>
      <c r="N56" s="49" t="s">
        <v>158</v>
      </c>
    </row>
    <row r="57" spans="1:14" x14ac:dyDescent="0.25">
      <c r="A57" s="72" t="s">
        <v>119</v>
      </c>
      <c r="B57" s="9" t="s">
        <v>125</v>
      </c>
      <c r="C57" s="69">
        <f>C22</f>
        <v>10</v>
      </c>
      <c r="D57" s="69" t="s">
        <v>126</v>
      </c>
      <c r="E57" s="32">
        <v>50</v>
      </c>
      <c r="F57" s="69" t="s">
        <v>68</v>
      </c>
      <c r="G57" s="32">
        <f t="shared" si="41"/>
        <v>500</v>
      </c>
      <c r="H57" s="156">
        <f t="shared" si="42"/>
        <v>2166.6666666666665</v>
      </c>
      <c r="I57" s="160" t="s">
        <v>68</v>
      </c>
      <c r="J57" s="73"/>
      <c r="K57" s="32">
        <f t="shared" si="39"/>
        <v>26000</v>
      </c>
      <c r="L57" s="32">
        <f t="shared" ref="L57" si="45">K57</f>
        <v>26000</v>
      </c>
      <c r="M57" s="32">
        <f t="shared" ref="M57" si="46">L57</f>
        <v>26000</v>
      </c>
    </row>
    <row r="58" spans="1:14" x14ac:dyDescent="0.25">
      <c r="A58" s="72" t="s">
        <v>84</v>
      </c>
      <c r="B58" s="9" t="s">
        <v>82</v>
      </c>
      <c r="C58" s="48">
        <f>C23*10</f>
        <v>20</v>
      </c>
      <c r="D58" s="48" t="s">
        <v>120</v>
      </c>
      <c r="E58" s="32">
        <v>40</v>
      </c>
      <c r="F58" s="48" t="s">
        <v>68</v>
      </c>
      <c r="G58" s="32">
        <f t="shared" si="41"/>
        <v>800</v>
      </c>
      <c r="H58" s="156">
        <f t="shared" si="42"/>
        <v>3466.6666666666665</v>
      </c>
      <c r="I58" s="160" t="s">
        <v>68</v>
      </c>
      <c r="J58" s="73"/>
      <c r="K58" s="32">
        <f t="shared" si="39"/>
        <v>41600</v>
      </c>
      <c r="L58" s="32">
        <f t="shared" si="44"/>
        <v>41600</v>
      </c>
      <c r="M58" s="32">
        <f t="shared" si="44"/>
        <v>41600</v>
      </c>
    </row>
    <row r="59" spans="1:14" x14ac:dyDescent="0.25">
      <c r="A59" s="72" t="s">
        <v>86</v>
      </c>
      <c r="B59" s="9" t="s">
        <v>98</v>
      </c>
      <c r="C59" s="56">
        <f>C24</f>
        <v>5</v>
      </c>
      <c r="D59" s="48" t="s">
        <v>122</v>
      </c>
      <c r="E59" s="32">
        <v>1600</v>
      </c>
      <c r="F59" s="48" t="s">
        <v>68</v>
      </c>
      <c r="G59" s="32">
        <f t="shared" si="41"/>
        <v>8000</v>
      </c>
      <c r="H59" s="156">
        <f t="shared" si="42"/>
        <v>34666.666666666664</v>
      </c>
      <c r="I59" s="160" t="s">
        <v>68</v>
      </c>
      <c r="J59" s="73"/>
      <c r="K59" s="32">
        <f t="shared" si="39"/>
        <v>416000</v>
      </c>
      <c r="L59" s="32">
        <f t="shared" si="44"/>
        <v>416000</v>
      </c>
      <c r="M59" s="32">
        <f t="shared" si="44"/>
        <v>416000</v>
      </c>
    </row>
    <row r="60" spans="1:14" x14ac:dyDescent="0.25">
      <c r="A60" s="72" t="s">
        <v>87</v>
      </c>
      <c r="B60" s="9" t="s">
        <v>161</v>
      </c>
      <c r="C60" s="56">
        <f>C25*50</f>
        <v>300</v>
      </c>
      <c r="D60" s="75" t="s">
        <v>122</v>
      </c>
      <c r="E60" s="32">
        <v>20</v>
      </c>
      <c r="F60" s="69" t="s">
        <v>68</v>
      </c>
      <c r="G60" s="32">
        <f t="shared" si="41"/>
        <v>6000</v>
      </c>
      <c r="H60" s="156">
        <f t="shared" si="42"/>
        <v>26000</v>
      </c>
      <c r="I60" s="160" t="s">
        <v>68</v>
      </c>
      <c r="J60" s="73"/>
      <c r="K60" s="32">
        <f t="shared" si="39"/>
        <v>312000</v>
      </c>
      <c r="L60" s="32">
        <f t="shared" si="44"/>
        <v>312000</v>
      </c>
      <c r="M60" s="32">
        <f t="shared" si="44"/>
        <v>312000</v>
      </c>
    </row>
    <row r="61" spans="1:14" x14ac:dyDescent="0.25">
      <c r="A61" s="72" t="s">
        <v>95</v>
      </c>
      <c r="B61" s="9" t="s">
        <v>131</v>
      </c>
      <c r="C61" s="56">
        <f>C26*96</f>
        <v>384</v>
      </c>
      <c r="D61" s="69" t="s">
        <v>127</v>
      </c>
      <c r="E61" s="32">
        <v>15</v>
      </c>
      <c r="F61" s="69" t="s">
        <v>68</v>
      </c>
      <c r="G61" s="32">
        <f t="shared" si="41"/>
        <v>5760</v>
      </c>
      <c r="H61" s="156">
        <f t="shared" si="42"/>
        <v>24960</v>
      </c>
      <c r="I61" s="160" t="s">
        <v>68</v>
      </c>
      <c r="J61" s="73"/>
      <c r="K61" s="32">
        <f t="shared" si="39"/>
        <v>299520</v>
      </c>
      <c r="L61" s="32">
        <f t="shared" ref="L61:L64" si="47">K61</f>
        <v>299520</v>
      </c>
      <c r="M61" s="32">
        <f t="shared" ref="M61:M64" si="48">L61</f>
        <v>299520</v>
      </c>
    </row>
    <row r="62" spans="1:14" x14ac:dyDescent="0.25">
      <c r="A62" s="72" t="s">
        <v>96</v>
      </c>
      <c r="B62" s="9" t="s">
        <v>162</v>
      </c>
      <c r="C62" s="56">
        <f>C27*25</f>
        <v>25</v>
      </c>
      <c r="D62" s="69" t="s">
        <v>120</v>
      </c>
      <c r="E62" s="32">
        <v>100</v>
      </c>
      <c r="F62" s="69" t="s">
        <v>68</v>
      </c>
      <c r="G62" s="32">
        <f t="shared" si="41"/>
        <v>2500</v>
      </c>
      <c r="H62" s="156">
        <f t="shared" si="42"/>
        <v>10833.333333333334</v>
      </c>
      <c r="I62" s="160" t="s">
        <v>68</v>
      </c>
      <c r="J62" s="73"/>
      <c r="K62" s="32">
        <f t="shared" si="39"/>
        <v>130000</v>
      </c>
      <c r="L62" s="32">
        <f t="shared" si="47"/>
        <v>130000</v>
      </c>
      <c r="M62" s="32">
        <f t="shared" si="48"/>
        <v>130000</v>
      </c>
    </row>
    <row r="63" spans="1:14" x14ac:dyDescent="0.25">
      <c r="A63" s="72" t="s">
        <v>97</v>
      </c>
      <c r="B63" s="9" t="s">
        <v>129</v>
      </c>
      <c r="C63" s="56">
        <f>C28</f>
        <v>40</v>
      </c>
      <c r="D63" s="69" t="s">
        <v>120</v>
      </c>
      <c r="E63" s="32">
        <v>300</v>
      </c>
      <c r="F63" s="69" t="s">
        <v>68</v>
      </c>
      <c r="G63" s="32">
        <f t="shared" si="41"/>
        <v>12000</v>
      </c>
      <c r="H63" s="156">
        <f t="shared" si="42"/>
        <v>52000</v>
      </c>
      <c r="I63" s="160" t="s">
        <v>68</v>
      </c>
      <c r="J63" s="73"/>
      <c r="K63" s="32">
        <f t="shared" si="39"/>
        <v>624000</v>
      </c>
      <c r="L63" s="32">
        <f t="shared" si="47"/>
        <v>624000</v>
      </c>
      <c r="M63" s="32">
        <f t="shared" si="48"/>
        <v>624000</v>
      </c>
      <c r="N63" s="49" t="s">
        <v>160</v>
      </c>
    </row>
    <row r="64" spans="1:14" x14ac:dyDescent="0.25">
      <c r="A64" s="72" t="s">
        <v>108</v>
      </c>
      <c r="B64" s="9" t="s">
        <v>134</v>
      </c>
      <c r="C64" s="56">
        <f>C29*18</f>
        <v>108</v>
      </c>
      <c r="D64" s="69" t="s">
        <v>127</v>
      </c>
      <c r="E64" s="32">
        <v>20</v>
      </c>
      <c r="F64" s="69" t="s">
        <v>68</v>
      </c>
      <c r="G64" s="32">
        <f t="shared" si="41"/>
        <v>2160</v>
      </c>
      <c r="H64" s="156">
        <f t="shared" si="42"/>
        <v>9360</v>
      </c>
      <c r="I64" s="160" t="s">
        <v>68</v>
      </c>
      <c r="J64" s="73"/>
      <c r="K64" s="32">
        <f t="shared" si="39"/>
        <v>112320</v>
      </c>
      <c r="L64" s="32">
        <f t="shared" si="47"/>
        <v>112320</v>
      </c>
      <c r="M64" s="32">
        <f t="shared" si="48"/>
        <v>112320</v>
      </c>
    </row>
    <row r="65" spans="1:17" x14ac:dyDescent="0.25">
      <c r="A65" s="72" t="s">
        <v>109</v>
      </c>
      <c r="B65" s="9" t="s">
        <v>130</v>
      </c>
      <c r="C65" s="56">
        <f>C30*150</f>
        <v>300</v>
      </c>
      <c r="D65" s="69" t="s">
        <v>127</v>
      </c>
      <c r="E65" s="74">
        <v>2.5</v>
      </c>
      <c r="F65" s="69" t="s">
        <v>68</v>
      </c>
      <c r="G65" s="32">
        <f t="shared" si="41"/>
        <v>750</v>
      </c>
      <c r="H65" s="156">
        <f t="shared" si="42"/>
        <v>3250</v>
      </c>
      <c r="I65" s="160" t="s">
        <v>68</v>
      </c>
      <c r="J65" s="73"/>
      <c r="K65" s="32">
        <f t="shared" si="39"/>
        <v>39000</v>
      </c>
      <c r="L65" s="32">
        <f t="shared" ref="L65" si="49">K65</f>
        <v>39000</v>
      </c>
      <c r="M65" s="32">
        <f t="shared" ref="M65" si="50">L65</f>
        <v>39000</v>
      </c>
    </row>
    <row r="66" spans="1:17" x14ac:dyDescent="0.25">
      <c r="A66" s="75" t="s">
        <v>110</v>
      </c>
      <c r="B66" s="9" t="s">
        <v>149</v>
      </c>
      <c r="C66" s="56">
        <f>C32</f>
        <v>20</v>
      </c>
      <c r="D66" s="75" t="s">
        <v>120</v>
      </c>
      <c r="E66" s="32">
        <v>50</v>
      </c>
      <c r="F66" s="75" t="s">
        <v>68</v>
      </c>
      <c r="G66" s="32">
        <f t="shared" ref="G66" si="51">C66*E66</f>
        <v>1000</v>
      </c>
      <c r="H66" s="156">
        <f t="shared" ref="H66" si="52">G66*52/12</f>
        <v>4333.333333333333</v>
      </c>
      <c r="I66" s="160" t="s">
        <v>68</v>
      </c>
      <c r="J66" s="73"/>
      <c r="K66" s="32"/>
      <c r="L66" s="32"/>
      <c r="M66" s="32"/>
    </row>
    <row r="67" spans="1:17" x14ac:dyDescent="0.25">
      <c r="A67" s="72"/>
      <c r="C67" s="56"/>
      <c r="D67" s="72"/>
      <c r="E67" s="74"/>
      <c r="F67" s="72"/>
      <c r="G67" s="32"/>
      <c r="H67" s="156"/>
      <c r="I67" s="160"/>
      <c r="J67" s="73"/>
      <c r="K67" s="32"/>
      <c r="L67" s="32"/>
      <c r="M67" s="32"/>
    </row>
    <row r="68" spans="1:17" s="28" customFormat="1" x14ac:dyDescent="0.25">
      <c r="A68" s="59"/>
      <c r="B68" s="57" t="s">
        <v>106</v>
      </c>
      <c r="C68" s="58"/>
      <c r="D68" s="58"/>
      <c r="E68" s="58"/>
      <c r="F68" s="58"/>
      <c r="G68" s="58" t="s">
        <v>103</v>
      </c>
      <c r="H68" s="159" t="s">
        <v>103</v>
      </c>
      <c r="I68" s="161"/>
      <c r="J68" s="119"/>
      <c r="K68" s="60"/>
      <c r="L68" s="60"/>
      <c r="M68" s="60"/>
      <c r="N68" s="61"/>
    </row>
    <row r="69" spans="1:17" x14ac:dyDescent="0.25">
      <c r="A69" s="72" t="s">
        <v>143</v>
      </c>
      <c r="B69" s="9" t="s">
        <v>198</v>
      </c>
      <c r="C69" s="72">
        <v>1</v>
      </c>
      <c r="D69" s="72" t="s">
        <v>124</v>
      </c>
      <c r="E69" s="62">
        <v>4500</v>
      </c>
      <c r="F69" s="72" t="s">
        <v>68</v>
      </c>
      <c r="G69" s="32">
        <f>C69*E69</f>
        <v>4500</v>
      </c>
      <c r="H69" s="156">
        <f t="shared" ref="H69" si="53">G69</f>
        <v>4500</v>
      </c>
      <c r="I69" s="160" t="s">
        <v>68</v>
      </c>
      <c r="J69" s="73"/>
      <c r="K69" s="32">
        <f>H69*$M$6</f>
        <v>54000</v>
      </c>
      <c r="L69" s="32">
        <f t="shared" ref="L69" si="54">K69</f>
        <v>54000</v>
      </c>
      <c r="M69" s="32">
        <f t="shared" ref="M69" si="55">L69</f>
        <v>54000</v>
      </c>
    </row>
    <row r="70" spans="1:17" x14ac:dyDescent="0.25">
      <c r="A70" s="72" t="s">
        <v>144</v>
      </c>
      <c r="B70" s="9" t="s">
        <v>228</v>
      </c>
      <c r="C70" s="47">
        <f>C37</f>
        <v>20</v>
      </c>
      <c r="D70" s="73" t="s">
        <v>127</v>
      </c>
      <c r="E70" s="32">
        <v>220</v>
      </c>
      <c r="F70" s="47" t="s">
        <v>68</v>
      </c>
      <c r="G70" s="32">
        <f t="shared" ref="G70:G73" si="56">C70*E70</f>
        <v>4400</v>
      </c>
      <c r="H70" s="156">
        <f t="shared" ref="H70:H72" si="57">G70</f>
        <v>4400</v>
      </c>
      <c r="I70" s="160" t="s">
        <v>68</v>
      </c>
      <c r="J70" s="73"/>
      <c r="K70" s="32">
        <f>H70*$M$6</f>
        <v>52800</v>
      </c>
      <c r="L70" s="32">
        <f t="shared" ref="L70:L72" si="58">K70</f>
        <v>52800</v>
      </c>
      <c r="M70" s="32">
        <f t="shared" ref="M70:M72" si="59">L70</f>
        <v>52800</v>
      </c>
      <c r="N70" s="49" t="s">
        <v>169</v>
      </c>
    </row>
    <row r="71" spans="1:17" x14ac:dyDescent="0.25">
      <c r="A71" s="72" t="s">
        <v>145</v>
      </c>
      <c r="B71" s="9" t="s">
        <v>229</v>
      </c>
      <c r="C71" s="69">
        <f>C38</f>
        <v>20</v>
      </c>
      <c r="D71" s="73" t="s">
        <v>127</v>
      </c>
      <c r="E71" s="32">
        <v>240</v>
      </c>
      <c r="F71" s="47" t="s">
        <v>68</v>
      </c>
      <c r="G71" s="32">
        <f t="shared" si="56"/>
        <v>4800</v>
      </c>
      <c r="H71" s="156">
        <f t="shared" si="57"/>
        <v>4800</v>
      </c>
      <c r="I71" s="160" t="s">
        <v>68</v>
      </c>
      <c r="J71" s="73"/>
      <c r="K71" s="32">
        <f>H71*$M$6</f>
        <v>57600</v>
      </c>
      <c r="L71" s="32">
        <f t="shared" si="58"/>
        <v>57600</v>
      </c>
      <c r="M71" s="32">
        <f t="shared" si="59"/>
        <v>57600</v>
      </c>
    </row>
    <row r="72" spans="1:17" x14ac:dyDescent="0.25">
      <c r="A72" s="72" t="s">
        <v>150</v>
      </c>
      <c r="B72" s="9" t="s">
        <v>230</v>
      </c>
      <c r="C72" s="69">
        <f>C39</f>
        <v>24</v>
      </c>
      <c r="D72" s="73" t="s">
        <v>127</v>
      </c>
      <c r="E72" s="32">
        <v>50</v>
      </c>
      <c r="F72" s="47" t="s">
        <v>68</v>
      </c>
      <c r="G72" s="32">
        <f t="shared" si="56"/>
        <v>1200</v>
      </c>
      <c r="H72" s="156">
        <f t="shared" si="57"/>
        <v>1200</v>
      </c>
      <c r="I72" s="160" t="s">
        <v>68</v>
      </c>
      <c r="J72" s="73"/>
      <c r="K72" s="32">
        <f>H72*$M$6</f>
        <v>14400</v>
      </c>
      <c r="L72" s="32">
        <f t="shared" si="58"/>
        <v>14400</v>
      </c>
      <c r="M72" s="32">
        <f t="shared" si="59"/>
        <v>14400</v>
      </c>
    </row>
    <row r="73" spans="1:17" x14ac:dyDescent="0.25">
      <c r="A73" s="72" t="s">
        <v>151</v>
      </c>
      <c r="B73" s="9" t="s">
        <v>231</v>
      </c>
      <c r="C73" s="69">
        <f>C40</f>
        <v>24</v>
      </c>
      <c r="D73" s="73" t="s">
        <v>127</v>
      </c>
      <c r="E73" s="32">
        <v>350</v>
      </c>
      <c r="F73" s="69" t="s">
        <v>68</v>
      </c>
      <c r="G73" s="32">
        <f t="shared" si="56"/>
        <v>8400</v>
      </c>
      <c r="H73" s="156">
        <f t="shared" ref="H73" si="60">G73</f>
        <v>8400</v>
      </c>
      <c r="I73" s="160" t="s">
        <v>68</v>
      </c>
      <c r="J73" s="73"/>
      <c r="K73" s="32">
        <f>H73*$M$6</f>
        <v>100800</v>
      </c>
      <c r="L73" s="32">
        <f t="shared" ref="L73" si="61">K73</f>
        <v>100800</v>
      </c>
      <c r="M73" s="32">
        <f t="shared" ref="M73" si="62">L73</f>
        <v>100800</v>
      </c>
    </row>
    <row r="74" spans="1:17" x14ac:dyDescent="0.25">
      <c r="A74" s="47"/>
      <c r="C74" s="47"/>
      <c r="D74" s="47"/>
      <c r="E74" s="47"/>
      <c r="F74" s="47"/>
      <c r="G74" s="32"/>
      <c r="H74" s="156"/>
      <c r="I74" s="160"/>
      <c r="J74" s="73"/>
      <c r="K74" s="32"/>
      <c r="L74" s="32"/>
      <c r="M74" s="32"/>
    </row>
    <row r="75" spans="1:17" x14ac:dyDescent="0.25">
      <c r="A75" s="21"/>
      <c r="B75" s="127" t="s">
        <v>210</v>
      </c>
      <c r="C75" s="19"/>
      <c r="D75" s="19"/>
      <c r="E75" s="24"/>
      <c r="F75" s="24"/>
      <c r="G75" s="24"/>
      <c r="H75" s="141"/>
      <c r="I75" s="139"/>
      <c r="J75" s="118"/>
      <c r="K75" s="30"/>
      <c r="L75" s="30"/>
      <c r="M75" s="30"/>
      <c r="N75" s="52"/>
      <c r="O75" s="2"/>
    </row>
    <row r="76" spans="1:17" s="125" customFormat="1" x14ac:dyDescent="0.25">
      <c r="A76" s="142" t="s">
        <v>215</v>
      </c>
      <c r="B76" s="143" t="s">
        <v>221</v>
      </c>
      <c r="C76" s="142">
        <v>1</v>
      </c>
      <c r="D76" s="142" t="s">
        <v>124</v>
      </c>
      <c r="E76" s="144">
        <f>(SUM(H52:H53)-SUM(H17:H19))*4</f>
        <v>9533.3333333333285</v>
      </c>
      <c r="F76" s="142" t="s">
        <v>68</v>
      </c>
      <c r="G76" s="144">
        <f t="shared" ref="G76:G78" si="63">C76*E76</f>
        <v>9533.3333333333285</v>
      </c>
      <c r="H76" s="145"/>
      <c r="I76" s="151" t="s">
        <v>68</v>
      </c>
      <c r="J76" s="147"/>
      <c r="K76" s="144">
        <f t="shared" ref="K76:K81" si="64">H76*$M$6</f>
        <v>0</v>
      </c>
      <c r="L76" s="144">
        <f>G76*$M$6</f>
        <v>114399.99999999994</v>
      </c>
      <c r="M76" s="144">
        <f t="shared" ref="M76" si="65">L76</f>
        <v>114399.99999999994</v>
      </c>
      <c r="N76" s="148" t="s">
        <v>224</v>
      </c>
      <c r="P76" s="149"/>
    </row>
    <row r="77" spans="1:17" s="152" customFormat="1" x14ac:dyDescent="0.25">
      <c r="A77" s="142" t="s">
        <v>216</v>
      </c>
      <c r="B77" s="143" t="s">
        <v>222</v>
      </c>
      <c r="C77" s="142">
        <v>1</v>
      </c>
      <c r="D77" s="142" t="s">
        <v>124</v>
      </c>
      <c r="E77" s="144">
        <f>(SUM(H54:H65)-SUM(H20:H31)-H33)*0.25</f>
        <v>11244.999999999995</v>
      </c>
      <c r="F77" s="142" t="s">
        <v>68</v>
      </c>
      <c r="G77" s="144">
        <f t="shared" si="63"/>
        <v>11244.999999999995</v>
      </c>
      <c r="H77" s="145"/>
      <c r="I77" s="151" t="s">
        <v>68</v>
      </c>
      <c r="J77" s="147"/>
      <c r="K77" s="144">
        <f t="shared" si="64"/>
        <v>0</v>
      </c>
      <c r="L77" s="144">
        <f t="shared" ref="L77:L80" si="66">G77*$M$6</f>
        <v>134939.99999999994</v>
      </c>
      <c r="M77" s="144">
        <f t="shared" ref="M77:M80" si="67">L77</f>
        <v>134939.99999999994</v>
      </c>
      <c r="N77" s="148" t="s">
        <v>225</v>
      </c>
      <c r="P77" s="149"/>
      <c r="Q77" s="153"/>
    </row>
    <row r="78" spans="1:17" s="125" customFormat="1" x14ac:dyDescent="0.25">
      <c r="A78" s="142" t="s">
        <v>217</v>
      </c>
      <c r="B78" s="143" t="s">
        <v>226</v>
      </c>
      <c r="C78" s="142">
        <v>1</v>
      </c>
      <c r="D78" s="142" t="s">
        <v>124</v>
      </c>
      <c r="E78" s="144">
        <f>(SUM(H66)-SUM(H32))*2</f>
        <v>1733.333333333333</v>
      </c>
      <c r="F78" s="142" t="s">
        <v>68</v>
      </c>
      <c r="G78" s="144">
        <f t="shared" si="63"/>
        <v>1733.333333333333</v>
      </c>
      <c r="H78" s="145"/>
      <c r="I78" s="151" t="s">
        <v>68</v>
      </c>
      <c r="J78" s="147"/>
      <c r="K78" s="144">
        <f t="shared" si="64"/>
        <v>0</v>
      </c>
      <c r="L78" s="144">
        <f t="shared" si="66"/>
        <v>20799.999999999996</v>
      </c>
      <c r="M78" s="144">
        <f t="shared" si="67"/>
        <v>20799.999999999996</v>
      </c>
      <c r="N78" s="148"/>
      <c r="Q78" s="149"/>
    </row>
    <row r="79" spans="1:17" s="125" customFormat="1" x14ac:dyDescent="0.25">
      <c r="A79" s="142" t="s">
        <v>218</v>
      </c>
      <c r="B79" s="143" t="s">
        <v>227</v>
      </c>
      <c r="C79" s="142">
        <v>1</v>
      </c>
      <c r="D79" s="142" t="s">
        <v>124</v>
      </c>
      <c r="E79" s="144">
        <f>(SUM(G70:G73)-SUM(G37:G42))*2</f>
        <v>6400</v>
      </c>
      <c r="F79" s="142" t="s">
        <v>68</v>
      </c>
      <c r="G79" s="144">
        <f t="shared" ref="G79:G81" si="68">C79*E79</f>
        <v>6400</v>
      </c>
      <c r="H79" s="145"/>
      <c r="I79" s="151" t="s">
        <v>68</v>
      </c>
      <c r="J79" s="147"/>
      <c r="K79" s="144">
        <f t="shared" si="64"/>
        <v>0</v>
      </c>
      <c r="L79" s="144">
        <f t="shared" si="66"/>
        <v>76800</v>
      </c>
      <c r="M79" s="144">
        <f t="shared" si="67"/>
        <v>76800</v>
      </c>
      <c r="N79" s="148" t="s">
        <v>212</v>
      </c>
      <c r="P79" s="149"/>
    </row>
    <row r="80" spans="1:17" s="152" customFormat="1" x14ac:dyDescent="0.25">
      <c r="A80" s="142" t="s">
        <v>219</v>
      </c>
      <c r="B80" s="143" t="s">
        <v>213</v>
      </c>
      <c r="C80" s="142">
        <v>1</v>
      </c>
      <c r="D80" s="142" t="s">
        <v>124</v>
      </c>
      <c r="E80" s="144">
        <v>12000</v>
      </c>
      <c r="F80" s="142" t="s">
        <v>68</v>
      </c>
      <c r="G80" s="144">
        <f t="shared" si="68"/>
        <v>12000</v>
      </c>
      <c r="H80" s="145"/>
      <c r="I80" s="151" t="s">
        <v>68</v>
      </c>
      <c r="J80" s="147"/>
      <c r="K80" s="144">
        <f t="shared" si="64"/>
        <v>0</v>
      </c>
      <c r="L80" s="144">
        <f t="shared" si="66"/>
        <v>144000</v>
      </c>
      <c r="M80" s="144">
        <f t="shared" si="67"/>
        <v>144000</v>
      </c>
      <c r="N80" s="148"/>
      <c r="P80" s="149"/>
      <c r="Q80" s="153"/>
    </row>
    <row r="81" spans="1:17" s="125" customFormat="1" x14ac:dyDescent="0.25">
      <c r="A81" s="142" t="s">
        <v>220</v>
      </c>
      <c r="B81" s="143" t="s">
        <v>214</v>
      </c>
      <c r="C81" s="142">
        <v>1</v>
      </c>
      <c r="D81" s="142" t="s">
        <v>124</v>
      </c>
      <c r="E81" s="144">
        <v>12000</v>
      </c>
      <c r="F81" s="142" t="s">
        <v>68</v>
      </c>
      <c r="G81" s="144">
        <f t="shared" si="68"/>
        <v>12000</v>
      </c>
      <c r="H81" s="145"/>
      <c r="I81" s="151" t="s">
        <v>68</v>
      </c>
      <c r="J81" s="147"/>
      <c r="K81" s="144">
        <f t="shared" si="64"/>
        <v>0</v>
      </c>
      <c r="L81" s="144">
        <v>0</v>
      </c>
      <c r="M81" s="144">
        <f>G81*M6</f>
        <v>144000</v>
      </c>
      <c r="N81" s="148"/>
      <c r="Q81" s="149"/>
    </row>
    <row r="82" spans="1:17" x14ac:dyDescent="0.25">
      <c r="A82" s="118"/>
      <c r="C82" s="56"/>
      <c r="D82" s="118"/>
      <c r="E82" s="32"/>
      <c r="F82" s="118"/>
      <c r="G82" s="32"/>
      <c r="H82" s="150"/>
      <c r="I82" s="154"/>
      <c r="J82" s="118"/>
      <c r="K82" s="32"/>
      <c r="L82" s="32"/>
      <c r="M82" s="32"/>
      <c r="Q82" s="44"/>
    </row>
    <row r="83" spans="1:17" s="7" customFormat="1" x14ac:dyDescent="0.25">
      <c r="A83" s="25" t="s">
        <v>12</v>
      </c>
      <c r="B83" s="173" t="s">
        <v>0</v>
      </c>
      <c r="C83" s="173"/>
      <c r="D83" s="173"/>
      <c r="E83" s="173"/>
      <c r="F83" s="173"/>
      <c r="G83" s="31"/>
      <c r="H83" s="162">
        <f>SUM(H52:H74)</f>
        <v>350769.99999999994</v>
      </c>
      <c r="I83" s="163" t="s">
        <v>68</v>
      </c>
      <c r="J83" s="120"/>
      <c r="K83" s="31">
        <f>SUM(K52:K82)</f>
        <v>4157240</v>
      </c>
      <c r="L83" s="31">
        <f>SUM(L52:L82)</f>
        <v>4648180</v>
      </c>
      <c r="M83" s="31">
        <f>SUM(M52:M82)</f>
        <v>4792180</v>
      </c>
      <c r="N83" s="53"/>
    </row>
    <row r="84" spans="1:17" x14ac:dyDescent="0.25">
      <c r="H84" s="168"/>
      <c r="I84" s="157"/>
      <c r="J84" s="73"/>
    </row>
    <row r="85" spans="1:17" ht="18.75" x14ac:dyDescent="0.25">
      <c r="A85" s="176" t="s">
        <v>48</v>
      </c>
      <c r="B85" s="176"/>
      <c r="C85" s="176"/>
      <c r="D85" s="176"/>
      <c r="E85" s="176"/>
      <c r="F85" s="176"/>
      <c r="G85" s="176"/>
      <c r="H85" s="166"/>
      <c r="I85" s="167"/>
      <c r="J85" s="73"/>
      <c r="K85" s="34" t="s">
        <v>55</v>
      </c>
      <c r="L85" s="34" t="s">
        <v>54</v>
      </c>
      <c r="M85" s="34" t="s">
        <v>56</v>
      </c>
      <c r="N85" s="50"/>
    </row>
    <row r="86" spans="1:17" x14ac:dyDescent="0.25">
      <c r="A86" s="8" t="s">
        <v>7</v>
      </c>
      <c r="B86" s="192" t="s">
        <v>27</v>
      </c>
      <c r="C86" s="192"/>
      <c r="D86" s="192"/>
      <c r="E86" s="192"/>
      <c r="F86" s="192"/>
      <c r="G86" s="32"/>
      <c r="H86" s="156">
        <f>H47</f>
        <v>300765</v>
      </c>
      <c r="I86" s="160" t="s">
        <v>68</v>
      </c>
      <c r="J86" s="73"/>
      <c r="K86" s="32">
        <f>K47</f>
        <v>3609180</v>
      </c>
      <c r="L86" s="32">
        <f>L47</f>
        <v>3617580</v>
      </c>
      <c r="M86" s="32">
        <f>M47</f>
        <v>3617580</v>
      </c>
    </row>
    <row r="87" spans="1:17" x14ac:dyDescent="0.25">
      <c r="A87" s="8" t="s">
        <v>12</v>
      </c>
      <c r="B87" s="192" t="s">
        <v>49</v>
      </c>
      <c r="C87" s="192"/>
      <c r="D87" s="192"/>
      <c r="E87" s="192"/>
      <c r="F87" s="192"/>
      <c r="G87" s="32"/>
      <c r="H87" s="156">
        <f>H83</f>
        <v>350769.99999999994</v>
      </c>
      <c r="I87" s="160" t="s">
        <v>68</v>
      </c>
      <c r="J87" s="73"/>
      <c r="K87" s="32">
        <f>K83</f>
        <v>4157240</v>
      </c>
      <c r="L87" s="32">
        <f>L83</f>
        <v>4648180</v>
      </c>
      <c r="M87" s="32">
        <f>M83</f>
        <v>4792180</v>
      </c>
    </row>
    <row r="88" spans="1:17" s="7" customFormat="1" x14ac:dyDescent="0.25">
      <c r="A88" s="20"/>
      <c r="B88" s="191" t="s">
        <v>65</v>
      </c>
      <c r="C88" s="191"/>
      <c r="D88" s="191"/>
      <c r="E88" s="191"/>
      <c r="F88" s="191"/>
      <c r="G88" s="31"/>
      <c r="H88" s="162">
        <f>H87-H86</f>
        <v>50004.999999999942</v>
      </c>
      <c r="I88" s="163" t="s">
        <v>68</v>
      </c>
      <c r="J88" s="120"/>
      <c r="K88" s="31">
        <f>K87-K86</f>
        <v>548060</v>
      </c>
      <c r="L88" s="31">
        <f>L87-L86</f>
        <v>1030600</v>
      </c>
      <c r="M88" s="31">
        <f>M87-M86</f>
        <v>1174600</v>
      </c>
      <c r="N88" s="53"/>
    </row>
    <row r="89" spans="1:17" x14ac:dyDescent="0.25">
      <c r="A89" s="42" t="s">
        <v>9</v>
      </c>
      <c r="B89" s="193" t="s">
        <v>31</v>
      </c>
      <c r="C89" s="193"/>
      <c r="D89" s="193"/>
      <c r="E89" s="193"/>
      <c r="F89" s="193"/>
      <c r="G89" s="43"/>
      <c r="H89" s="169"/>
      <c r="I89" s="170"/>
      <c r="J89" s="73"/>
      <c r="K89" s="32"/>
      <c r="L89" s="43">
        <f>'Info general'!H21</f>
        <v>1450</v>
      </c>
      <c r="M89" s="43">
        <f>'Info general'!H21+'Info general'!H29</f>
        <v>12970</v>
      </c>
      <c r="N89" s="54"/>
    </row>
    <row r="90" spans="1:17" s="7" customFormat="1" ht="15.75" thickBot="1" x14ac:dyDescent="0.3">
      <c r="A90" s="20"/>
      <c r="B90" s="191" t="s">
        <v>66</v>
      </c>
      <c r="C90" s="191"/>
      <c r="D90" s="191"/>
      <c r="E90" s="191"/>
      <c r="F90" s="191"/>
      <c r="G90" s="31"/>
      <c r="H90" s="171">
        <f>H88-H89</f>
        <v>50004.999999999942</v>
      </c>
      <c r="I90" s="172" t="s">
        <v>68</v>
      </c>
      <c r="J90" s="120"/>
      <c r="K90" s="31">
        <f>K88-K89</f>
        <v>548060</v>
      </c>
      <c r="L90" s="31">
        <f t="shared" ref="L90:M90" si="69">L88-L89</f>
        <v>1029150</v>
      </c>
      <c r="M90" s="31">
        <f t="shared" si="69"/>
        <v>1161630</v>
      </c>
      <c r="N90" s="53"/>
    </row>
    <row r="91" spans="1:17" x14ac:dyDescent="0.25">
      <c r="J91" s="73"/>
    </row>
    <row r="92" spans="1:17" ht="15.75" thickBot="1" x14ac:dyDescent="0.3">
      <c r="B92" s="46"/>
      <c r="C92" s="46"/>
      <c r="J92" s="73"/>
    </row>
    <row r="93" spans="1:17" s="208" customFormat="1" ht="15.75" x14ac:dyDescent="0.25">
      <c r="A93" s="201" t="s">
        <v>235</v>
      </c>
      <c r="B93" s="202"/>
      <c r="C93" s="202"/>
      <c r="D93" s="202"/>
      <c r="E93" s="202"/>
      <c r="F93" s="202"/>
      <c r="G93" s="202"/>
      <c r="H93" s="201" t="s">
        <v>103</v>
      </c>
      <c r="I93" s="203"/>
      <c r="J93" s="204"/>
      <c r="K93" s="205" t="s">
        <v>55</v>
      </c>
      <c r="L93" s="206" t="s">
        <v>54</v>
      </c>
      <c r="M93" s="207" t="s">
        <v>56</v>
      </c>
      <c r="N93" s="49"/>
    </row>
    <row r="94" spans="1:17" x14ac:dyDescent="0.25">
      <c r="A94" s="209" t="s">
        <v>9</v>
      </c>
      <c r="B94" s="210" t="s">
        <v>236</v>
      </c>
      <c r="C94" s="210"/>
      <c r="D94" s="210"/>
      <c r="E94" s="210"/>
      <c r="F94" s="210"/>
      <c r="G94" s="211"/>
      <c r="H94" s="212"/>
      <c r="I94" s="213"/>
      <c r="J94" s="214"/>
      <c r="K94" s="212">
        <f>'Info general'!F21</f>
        <v>11450</v>
      </c>
      <c r="L94" s="211">
        <f>+'Info general'!F29</f>
        <v>61200</v>
      </c>
      <c r="M94" s="213"/>
    </row>
    <row r="95" spans="1:17" x14ac:dyDescent="0.25">
      <c r="A95" s="209" t="s">
        <v>9</v>
      </c>
      <c r="B95" s="210" t="s">
        <v>31</v>
      </c>
      <c r="C95" s="210"/>
      <c r="D95" s="210"/>
      <c r="E95" s="210"/>
      <c r="F95" s="210"/>
      <c r="G95" s="211"/>
      <c r="H95" s="212"/>
      <c r="I95" s="213"/>
      <c r="J95" s="214"/>
      <c r="K95" s="212"/>
      <c r="L95" s="211">
        <f>+'Info general'!H21</f>
        <v>1450</v>
      </c>
      <c r="M95" s="213">
        <f>+'Info general'!H21+'Info general'!H29</f>
        <v>12970</v>
      </c>
      <c r="P95" s="44"/>
    </row>
    <row r="96" spans="1:17" x14ac:dyDescent="0.25">
      <c r="A96" s="209" t="s">
        <v>7</v>
      </c>
      <c r="B96" s="210" t="s">
        <v>237</v>
      </c>
      <c r="C96" s="210"/>
      <c r="D96" s="210"/>
      <c r="E96" s="210"/>
      <c r="F96" s="210"/>
      <c r="G96" s="211"/>
      <c r="H96" s="212">
        <f>SUM(H11:H14)</f>
        <v>1925</v>
      </c>
      <c r="I96" s="213" t="s">
        <v>68</v>
      </c>
      <c r="J96" s="214"/>
      <c r="K96" s="212">
        <f>SUM(K11:K14)</f>
        <v>23100</v>
      </c>
      <c r="L96" s="211">
        <f>SUM(L11:L14)</f>
        <v>23100</v>
      </c>
      <c r="M96" s="213">
        <f>SUM(M11:M14)</f>
        <v>23100</v>
      </c>
      <c r="P96" s="44"/>
    </row>
    <row r="97" spans="1:16" x14ac:dyDescent="0.25">
      <c r="A97" s="209" t="s">
        <v>7</v>
      </c>
      <c r="B97" s="210" t="s">
        <v>238</v>
      </c>
      <c r="C97" s="210"/>
      <c r="D97" s="210"/>
      <c r="E97" s="210"/>
      <c r="F97" s="210"/>
      <c r="G97" s="211"/>
      <c r="H97" s="212">
        <f>H47-H96</f>
        <v>298840</v>
      </c>
      <c r="I97" s="213" t="s">
        <v>68</v>
      </c>
      <c r="J97" s="214"/>
      <c r="K97" s="212">
        <f t="shared" ref="K97:M97" si="70">K47-K96</f>
        <v>3586080</v>
      </c>
      <c r="L97" s="211">
        <f t="shared" si="70"/>
        <v>3594480</v>
      </c>
      <c r="M97" s="213">
        <f t="shared" si="70"/>
        <v>3594480</v>
      </c>
      <c r="P97" s="44"/>
    </row>
    <row r="98" spans="1:16" x14ac:dyDescent="0.25">
      <c r="A98" s="209" t="s">
        <v>12</v>
      </c>
      <c r="B98" s="210" t="s">
        <v>239</v>
      </c>
      <c r="C98" s="210"/>
      <c r="D98" s="210"/>
      <c r="E98" s="210"/>
      <c r="F98" s="210"/>
      <c r="G98" s="211"/>
      <c r="H98" s="212">
        <f>H83</f>
        <v>350769.99999999994</v>
      </c>
      <c r="I98" s="213" t="s">
        <v>68</v>
      </c>
      <c r="J98" s="214"/>
      <c r="K98" s="212">
        <f t="shared" ref="K98:M98" si="71">K83</f>
        <v>4157240</v>
      </c>
      <c r="L98" s="211">
        <f t="shared" si="71"/>
        <v>4648180</v>
      </c>
      <c r="M98" s="213">
        <f t="shared" si="71"/>
        <v>4792180</v>
      </c>
      <c r="P98" s="44"/>
    </row>
    <row r="99" spans="1:16" s="221" customFormat="1" ht="16.5" thickBot="1" x14ac:dyDescent="0.3">
      <c r="A99" s="215"/>
      <c r="B99" s="216" t="s">
        <v>66</v>
      </c>
      <c r="C99" s="216"/>
      <c r="D99" s="216"/>
      <c r="E99" s="216"/>
      <c r="F99" s="216"/>
      <c r="G99" s="217"/>
      <c r="H99" s="218">
        <f>H98-H97-H96</f>
        <v>50004.999999999942</v>
      </c>
      <c r="I99" s="219" t="s">
        <v>68</v>
      </c>
      <c r="J99" s="220"/>
      <c r="K99" s="218">
        <f t="shared" ref="K99" si="72">K98-K97-K96</f>
        <v>548060</v>
      </c>
      <c r="L99" s="217">
        <f>L98-L97-L96-L95-L94</f>
        <v>967950</v>
      </c>
      <c r="M99" s="219">
        <f>M98-M97-M96-M95-M94</f>
        <v>1161630</v>
      </c>
      <c r="N99" s="49"/>
      <c r="P99" s="222"/>
    </row>
    <row r="100" spans="1:16" x14ac:dyDescent="0.25">
      <c r="J100" s="73"/>
      <c r="K100" s="9"/>
      <c r="L100" s="9"/>
      <c r="M100" s="9"/>
      <c r="N100" s="9"/>
    </row>
    <row r="101" spans="1:16" x14ac:dyDescent="0.25">
      <c r="J101" s="73"/>
      <c r="K101" s="9"/>
      <c r="L101" s="9"/>
      <c r="M101" s="9"/>
      <c r="N101" s="9"/>
    </row>
    <row r="102" spans="1:16" x14ac:dyDescent="0.25">
      <c r="J102" s="73"/>
      <c r="K102" s="9"/>
      <c r="L102" s="9"/>
      <c r="M102" s="9"/>
      <c r="N102" s="9"/>
    </row>
    <row r="103" spans="1:16" x14ac:dyDescent="0.25">
      <c r="A103" s="11"/>
      <c r="B103" s="11"/>
      <c r="J103" s="73"/>
      <c r="K103" s="9"/>
      <c r="L103" s="9"/>
      <c r="M103" s="9"/>
      <c r="N103" s="9"/>
    </row>
    <row r="104" spans="1:16" x14ac:dyDescent="0.25">
      <c r="A104" s="11"/>
      <c r="B104" s="11"/>
      <c r="J104" s="73"/>
      <c r="K104" s="9"/>
      <c r="L104" s="9"/>
      <c r="M104" s="9"/>
      <c r="N104" s="9"/>
    </row>
    <row r="105" spans="1:16" x14ac:dyDescent="0.25">
      <c r="A105" s="11"/>
      <c r="B105" s="11"/>
      <c r="J105" s="73"/>
      <c r="K105" s="9"/>
      <c r="L105" s="9"/>
      <c r="M105" s="9"/>
      <c r="N105" s="9"/>
    </row>
    <row r="106" spans="1:16" x14ac:dyDescent="0.25">
      <c r="A106" s="11"/>
      <c r="B106" s="11"/>
      <c r="J106" s="73"/>
      <c r="K106" s="9"/>
      <c r="L106" s="9"/>
      <c r="M106" s="9"/>
      <c r="N106" s="9"/>
    </row>
    <row r="107" spans="1:16" x14ac:dyDescent="0.25">
      <c r="A107" s="11"/>
      <c r="B107" s="11"/>
      <c r="J107" s="73"/>
      <c r="K107" s="9"/>
      <c r="L107" s="9"/>
      <c r="M107" s="9"/>
      <c r="N107" s="9"/>
    </row>
    <row r="108" spans="1:16" x14ac:dyDescent="0.25">
      <c r="B108" s="11"/>
      <c r="J108" s="73"/>
      <c r="K108" s="9"/>
      <c r="L108" s="9"/>
      <c r="M108" s="9"/>
      <c r="N108" s="9"/>
    </row>
    <row r="109" spans="1:16" x14ac:dyDescent="0.25">
      <c r="J109" s="73"/>
      <c r="K109" s="9"/>
      <c r="L109" s="9"/>
      <c r="M109" s="9"/>
      <c r="N109" s="9"/>
    </row>
    <row r="110" spans="1:16" x14ac:dyDescent="0.25">
      <c r="J110" s="73"/>
      <c r="K110" s="9"/>
      <c r="L110" s="9"/>
      <c r="M110" s="9"/>
      <c r="N110" s="9"/>
    </row>
    <row r="111" spans="1:16" x14ac:dyDescent="0.25">
      <c r="J111" s="73"/>
      <c r="K111" s="9"/>
      <c r="L111" s="9"/>
      <c r="M111" s="9"/>
      <c r="N111" s="9"/>
    </row>
    <row r="112" spans="1:16" x14ac:dyDescent="0.25">
      <c r="J112" s="73"/>
      <c r="K112" s="9"/>
      <c r="L112" s="9"/>
      <c r="M112" s="9"/>
      <c r="N112" s="9"/>
    </row>
    <row r="113" spans="10:14" x14ac:dyDescent="0.25">
      <c r="J113" s="73"/>
      <c r="K113" s="9"/>
      <c r="L113" s="9"/>
      <c r="M113" s="9"/>
      <c r="N113" s="9"/>
    </row>
    <row r="114" spans="10:14" x14ac:dyDescent="0.25">
      <c r="J114" s="73"/>
      <c r="K114" s="9"/>
      <c r="L114" s="9"/>
      <c r="M114" s="9"/>
      <c r="N114" s="9"/>
    </row>
    <row r="115" spans="10:14" x14ac:dyDescent="0.25">
      <c r="J115" s="73"/>
      <c r="K115" s="9"/>
      <c r="L115" s="9"/>
      <c r="M115" s="9"/>
      <c r="N115" s="9"/>
    </row>
  </sheetData>
  <mergeCells count="22">
    <mergeCell ref="B97:F97"/>
    <mergeCell ref="B98:F98"/>
    <mergeCell ref="B99:F99"/>
    <mergeCell ref="A93:G93"/>
    <mergeCell ref="H93:I93"/>
    <mergeCell ref="B94:F94"/>
    <mergeCell ref="B95:F95"/>
    <mergeCell ref="B96:F96"/>
    <mergeCell ref="A4:M4"/>
    <mergeCell ref="H8:I8"/>
    <mergeCell ref="B90:F90"/>
    <mergeCell ref="A85:G85"/>
    <mergeCell ref="B86:F86"/>
    <mergeCell ref="B87:F87"/>
    <mergeCell ref="B88:F88"/>
    <mergeCell ref="B89:F89"/>
    <mergeCell ref="B83:F83"/>
    <mergeCell ref="A6:E6"/>
    <mergeCell ref="F6:G6"/>
    <mergeCell ref="A8:G8"/>
    <mergeCell ref="B47:F47"/>
    <mergeCell ref="A49:G49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0000000}">
          <x14:formula1>
            <xm:f>'Info general'!$J$7:$J$15</xm:f>
          </x14:formula1>
          <xm:sqref>F6:G6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8E5C9-28CA-4F9E-AA1E-8D489FD27A71}">
  <sheetPr>
    <pageSetUpPr fitToPage="1"/>
  </sheetPr>
  <dimension ref="A1:Q117"/>
  <sheetViews>
    <sheetView zoomScale="85" zoomScaleNormal="85" zoomScalePageLayoutView="85" workbookViewId="0">
      <pane ySplit="8" topLeftCell="A9" activePane="bottomLeft" state="frozen"/>
      <selection pane="bottomLeft" activeCell="B20" sqref="B20"/>
    </sheetView>
  </sheetViews>
  <sheetFormatPr baseColWidth="10" defaultColWidth="10.85546875" defaultRowHeight="15" x14ac:dyDescent="0.25"/>
  <cols>
    <col min="1" max="1" width="10.140625" style="9" customWidth="1"/>
    <col min="2" max="2" width="43.5703125" style="9" bestFit="1" customWidth="1"/>
    <col min="3" max="9" width="14.7109375" style="9" customWidth="1"/>
    <col min="10" max="10" width="3.42578125" style="11" customWidth="1"/>
    <col min="11" max="13" width="14.7109375" style="36" customWidth="1"/>
    <col min="14" max="14" width="53.85546875" style="49" bestFit="1" customWidth="1"/>
    <col min="15" max="15" width="19.7109375" style="9" customWidth="1"/>
    <col min="16" max="16384" width="10.85546875" style="9"/>
  </cols>
  <sheetData>
    <row r="1" spans="1:15" ht="28.5" x14ac:dyDescent="0.25">
      <c r="A1" s="26" t="s">
        <v>42</v>
      </c>
      <c r="B1" s="4"/>
      <c r="C1" s="5"/>
      <c r="D1" s="5"/>
      <c r="F1" s="118"/>
      <c r="G1" s="118"/>
      <c r="H1" s="118"/>
      <c r="I1" s="118"/>
      <c r="J1" s="73"/>
      <c r="K1" s="32"/>
      <c r="L1" s="32"/>
      <c r="M1" s="32"/>
    </row>
    <row r="2" spans="1:15" x14ac:dyDescent="0.25">
      <c r="A2" s="1"/>
      <c r="B2" s="7"/>
      <c r="C2" s="5"/>
      <c r="D2" s="5"/>
      <c r="F2" s="118"/>
      <c r="G2" s="118"/>
      <c r="H2" s="118"/>
      <c r="I2" s="118"/>
      <c r="J2" s="73"/>
      <c r="K2" s="32"/>
      <c r="L2" s="32"/>
      <c r="M2" s="32"/>
    </row>
    <row r="3" spans="1:15" ht="18.75" x14ac:dyDescent="0.25">
      <c r="A3" s="27" t="s">
        <v>53</v>
      </c>
      <c r="B3" s="4"/>
      <c r="F3" s="118"/>
      <c r="G3" s="118"/>
      <c r="H3" s="118"/>
      <c r="I3" s="118"/>
      <c r="J3" s="73"/>
      <c r="K3" s="32"/>
      <c r="L3" s="32"/>
      <c r="M3" s="32"/>
    </row>
    <row r="4" spans="1:15" ht="46.5" customHeight="1" x14ac:dyDescent="0.25">
      <c r="A4" s="188" t="s">
        <v>234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</row>
    <row r="5" spans="1:15" ht="5.25" customHeight="1" x14ac:dyDescent="0.25">
      <c r="A5" s="1"/>
      <c r="B5" s="4"/>
      <c r="F5" s="118"/>
      <c r="G5" s="118"/>
      <c r="H5" s="118"/>
      <c r="I5" s="118"/>
      <c r="J5" s="73"/>
      <c r="K5" s="32"/>
      <c r="L5" s="32"/>
      <c r="M5" s="32"/>
    </row>
    <row r="6" spans="1:15" ht="25.5" customHeight="1" x14ac:dyDescent="0.25">
      <c r="A6" s="194" t="s">
        <v>223</v>
      </c>
      <c r="B6" s="194"/>
      <c r="C6" s="194"/>
      <c r="D6" s="194"/>
      <c r="E6" s="194"/>
      <c r="F6" s="194"/>
      <c r="G6" s="194"/>
      <c r="H6" s="194"/>
      <c r="I6" s="194"/>
      <c r="J6" s="32"/>
      <c r="K6" s="32"/>
      <c r="L6" s="32"/>
      <c r="M6" s="49"/>
      <c r="N6" s="2"/>
    </row>
    <row r="7" spans="1:15" ht="5.25" customHeight="1" thickBot="1" x14ac:dyDescent="0.3">
      <c r="A7" s="1"/>
      <c r="B7" s="4"/>
      <c r="F7" s="118"/>
      <c r="G7" s="118"/>
      <c r="H7" s="118"/>
      <c r="I7" s="118"/>
      <c r="J7" s="73"/>
      <c r="K7" s="32"/>
      <c r="L7" s="32"/>
      <c r="M7" s="32"/>
    </row>
    <row r="8" spans="1:15" ht="16.5" thickBot="1" x14ac:dyDescent="0.3">
      <c r="A8" s="177" t="s">
        <v>36</v>
      </c>
      <c r="B8" s="178"/>
      <c r="C8" s="178"/>
      <c r="D8" s="178"/>
      <c r="E8" s="178"/>
      <c r="F8" s="182" t="s">
        <v>63</v>
      </c>
      <c r="G8" s="183"/>
      <c r="H8" s="118"/>
      <c r="I8" s="118"/>
      <c r="K8" s="33" t="s">
        <v>57</v>
      </c>
      <c r="L8" s="33"/>
      <c r="M8" s="33">
        <f>IF(F8="hebdomadaire",52,IF(F8="quincénaire",26,IF(F8="mensuel",12,IF(F8="trimestrielle (3mois)",4,IF(F8="semestre (6mois)",2,IF(F8="annuel",1,IF(F8="bimensuel (2mois)",6,1)))))))</f>
        <v>12</v>
      </c>
    </row>
    <row r="9" spans="1:15" ht="15.75" thickBot="1" x14ac:dyDescent="0.3">
      <c r="A9" s="1"/>
      <c r="B9" s="4"/>
      <c r="F9" s="118"/>
      <c r="G9" s="118"/>
      <c r="H9" s="118"/>
      <c r="I9" s="118"/>
      <c r="J9" s="73"/>
      <c r="K9" s="32"/>
      <c r="L9" s="32"/>
      <c r="M9" s="32"/>
    </row>
    <row r="10" spans="1:15" ht="18.75" x14ac:dyDescent="0.25">
      <c r="A10" s="176" t="s">
        <v>38</v>
      </c>
      <c r="B10" s="176"/>
      <c r="C10" s="176"/>
      <c r="D10" s="176"/>
      <c r="E10" s="176"/>
      <c r="F10" s="176"/>
      <c r="G10" s="176"/>
      <c r="H10" s="189" t="s">
        <v>103</v>
      </c>
      <c r="I10" s="190"/>
      <c r="J10" s="73"/>
      <c r="K10" s="34" t="s">
        <v>55</v>
      </c>
      <c r="L10" s="34" t="s">
        <v>54</v>
      </c>
      <c r="M10" s="34" t="s">
        <v>56</v>
      </c>
      <c r="N10" s="50" t="s">
        <v>100</v>
      </c>
      <c r="O10" s="44"/>
    </row>
    <row r="11" spans="1:15" ht="14.45" customHeight="1" x14ac:dyDescent="0.25">
      <c r="A11" s="6" t="s">
        <v>10</v>
      </c>
      <c r="B11" s="23" t="s">
        <v>32</v>
      </c>
      <c r="C11" s="6" t="s">
        <v>47</v>
      </c>
      <c r="D11" s="6" t="s">
        <v>3</v>
      </c>
      <c r="E11" s="6" t="s">
        <v>37</v>
      </c>
      <c r="F11" s="6" t="s">
        <v>3</v>
      </c>
      <c r="G11" s="6" t="s">
        <v>1</v>
      </c>
      <c r="H11" s="155" t="s">
        <v>107</v>
      </c>
      <c r="I11" s="138" t="s">
        <v>3</v>
      </c>
      <c r="J11" s="73"/>
      <c r="K11" s="35" t="s">
        <v>1</v>
      </c>
      <c r="L11" s="35" t="s">
        <v>1</v>
      </c>
      <c r="M11" s="35" t="s">
        <v>1</v>
      </c>
      <c r="N11" s="51"/>
    </row>
    <row r="12" spans="1:15" x14ac:dyDescent="0.25">
      <c r="A12" s="22"/>
      <c r="B12" s="22" t="s">
        <v>5</v>
      </c>
      <c r="C12" s="19"/>
      <c r="D12" s="19"/>
      <c r="E12" s="24"/>
      <c r="F12" s="24"/>
      <c r="G12" s="24"/>
      <c r="H12" s="141"/>
      <c r="I12" s="139"/>
      <c r="J12" s="73"/>
      <c r="K12" s="30"/>
      <c r="L12" s="30"/>
      <c r="M12" s="30"/>
      <c r="N12" s="52"/>
      <c r="O12" s="2"/>
    </row>
    <row r="13" spans="1:15" x14ac:dyDescent="0.25">
      <c r="A13" s="118" t="s">
        <v>17</v>
      </c>
      <c r="B13" s="9" t="s">
        <v>77</v>
      </c>
      <c r="C13" s="118">
        <v>1</v>
      </c>
      <c r="D13" s="118" t="s">
        <v>123</v>
      </c>
      <c r="E13" s="32">
        <v>1100</v>
      </c>
      <c r="F13" s="118" t="s">
        <v>68</v>
      </c>
      <c r="G13" s="32">
        <f>C13*E13</f>
        <v>1100</v>
      </c>
      <c r="H13" s="156">
        <f>G13</f>
        <v>1100</v>
      </c>
      <c r="I13" s="140" t="s">
        <v>68</v>
      </c>
      <c r="J13" s="73"/>
      <c r="K13" s="32">
        <f>H13*$M$8</f>
        <v>13200</v>
      </c>
      <c r="L13" s="32">
        <f>K13</f>
        <v>13200</v>
      </c>
      <c r="M13" s="32">
        <f>L13</f>
        <v>13200</v>
      </c>
      <c r="N13" s="49" t="s">
        <v>191</v>
      </c>
      <c r="O13" s="2"/>
    </row>
    <row r="14" spans="1:15" x14ac:dyDescent="0.25">
      <c r="A14" s="118" t="s">
        <v>18</v>
      </c>
      <c r="B14" s="9" t="s">
        <v>192</v>
      </c>
      <c r="C14" s="118">
        <v>4</v>
      </c>
      <c r="D14" s="118" t="s">
        <v>172</v>
      </c>
      <c r="E14" s="32">
        <v>175</v>
      </c>
      <c r="F14" s="118" t="s">
        <v>68</v>
      </c>
      <c r="G14" s="32">
        <f t="shared" ref="G14:G15" si="0">C14*E14</f>
        <v>700</v>
      </c>
      <c r="H14" s="156">
        <f t="shared" ref="H14:H15" si="1">G14</f>
        <v>700</v>
      </c>
      <c r="I14" s="140" t="s">
        <v>68</v>
      </c>
      <c r="J14" s="73"/>
      <c r="K14" s="32">
        <f>G14*$M$8</f>
        <v>8400</v>
      </c>
      <c r="L14" s="32">
        <f t="shared" ref="L14:M17" si="2">K14</f>
        <v>8400</v>
      </c>
      <c r="M14" s="32">
        <f t="shared" si="2"/>
        <v>8400</v>
      </c>
      <c r="N14" s="49" t="s">
        <v>193</v>
      </c>
      <c r="O14" s="2"/>
    </row>
    <row r="15" spans="1:15" x14ac:dyDescent="0.25">
      <c r="A15" s="118" t="s">
        <v>146</v>
      </c>
      <c r="B15" s="9" t="s">
        <v>113</v>
      </c>
      <c r="C15" s="55">
        <f>1/12</f>
        <v>8.3333333333333329E-2</v>
      </c>
      <c r="D15" s="118" t="s">
        <v>124</v>
      </c>
      <c r="E15" s="32">
        <v>1500</v>
      </c>
      <c r="F15" s="118" t="s">
        <v>68</v>
      </c>
      <c r="G15" s="32">
        <f t="shared" si="0"/>
        <v>125</v>
      </c>
      <c r="H15" s="156">
        <f t="shared" si="1"/>
        <v>125</v>
      </c>
      <c r="I15" s="140" t="s">
        <v>68</v>
      </c>
      <c r="J15" s="73"/>
      <c r="K15" s="32">
        <f>G15*$M$8</f>
        <v>1500</v>
      </c>
      <c r="L15" s="32">
        <f t="shared" si="2"/>
        <v>1500</v>
      </c>
      <c r="M15" s="32">
        <f t="shared" si="2"/>
        <v>1500</v>
      </c>
      <c r="N15" s="49" t="s">
        <v>114</v>
      </c>
      <c r="O15" s="2"/>
    </row>
    <row r="16" spans="1:15" x14ac:dyDescent="0.25">
      <c r="A16" s="118"/>
      <c r="C16" s="118"/>
      <c r="D16" s="118"/>
      <c r="E16" s="32"/>
      <c r="F16" s="118"/>
      <c r="G16" s="32"/>
      <c r="H16" s="156"/>
      <c r="I16" s="157"/>
      <c r="J16" s="62"/>
      <c r="K16" s="32"/>
      <c r="L16" s="32"/>
      <c r="M16" s="32"/>
      <c r="O16" s="29"/>
    </row>
    <row r="17" spans="1:14" x14ac:dyDescent="0.25">
      <c r="A17" s="21"/>
      <c r="B17" s="22" t="s">
        <v>6</v>
      </c>
      <c r="C17" s="19"/>
      <c r="D17" s="19"/>
      <c r="E17" s="24"/>
      <c r="F17" s="24"/>
      <c r="G17" s="63"/>
      <c r="H17" s="158"/>
      <c r="I17" s="139"/>
      <c r="J17" s="73"/>
      <c r="K17" s="30">
        <f>G17*$M$8</f>
        <v>0</v>
      </c>
      <c r="L17" s="30">
        <f t="shared" si="2"/>
        <v>0</v>
      </c>
      <c r="M17" s="30">
        <f t="shared" si="2"/>
        <v>0</v>
      </c>
      <c r="N17" s="52"/>
    </row>
    <row r="18" spans="1:14" s="28" customFormat="1" x14ac:dyDescent="0.25">
      <c r="A18" s="59"/>
      <c r="B18" s="57" t="s">
        <v>101</v>
      </c>
      <c r="C18" s="58"/>
      <c r="D18" s="58"/>
      <c r="E18" s="58"/>
      <c r="F18" s="58"/>
      <c r="G18" s="58" t="s">
        <v>117</v>
      </c>
      <c r="H18" s="159" t="s">
        <v>118</v>
      </c>
      <c r="I18" s="139"/>
      <c r="J18" s="119"/>
      <c r="K18" s="60"/>
      <c r="L18" s="60"/>
      <c r="M18" s="60"/>
      <c r="N18" s="61"/>
    </row>
    <row r="19" spans="1:14" x14ac:dyDescent="0.25">
      <c r="A19" s="118" t="s">
        <v>19</v>
      </c>
      <c r="B19" s="9" t="s">
        <v>115</v>
      </c>
      <c r="C19" s="118">
        <v>35</v>
      </c>
      <c r="D19" s="118" t="s">
        <v>120</v>
      </c>
      <c r="E19" s="32">
        <v>50</v>
      </c>
      <c r="F19" s="118" t="s">
        <v>68</v>
      </c>
      <c r="G19" s="32">
        <f t="shared" ref="G19:G44" si="3">C19*E19</f>
        <v>1750</v>
      </c>
      <c r="H19" s="156">
        <f>G19*52/12</f>
        <v>7583.333333333333</v>
      </c>
      <c r="I19" s="140" t="s">
        <v>68</v>
      </c>
      <c r="J19" s="73"/>
      <c r="K19" s="32">
        <f t="shared" ref="K19:K35" si="4">H19*$M$8</f>
        <v>91000</v>
      </c>
      <c r="L19" s="32">
        <f>K19</f>
        <v>91000</v>
      </c>
      <c r="M19" s="32">
        <f>L19</f>
        <v>91000</v>
      </c>
      <c r="N19" s="49" t="s">
        <v>194</v>
      </c>
    </row>
    <row r="20" spans="1:14" x14ac:dyDescent="0.25">
      <c r="A20" s="118" t="s">
        <v>20</v>
      </c>
      <c r="B20" s="9" t="s">
        <v>73</v>
      </c>
      <c r="C20" s="118">
        <v>40</v>
      </c>
      <c r="D20" s="118" t="s">
        <v>120</v>
      </c>
      <c r="E20" s="32">
        <v>25</v>
      </c>
      <c r="F20" s="118" t="s">
        <v>68</v>
      </c>
      <c r="G20" s="32">
        <f t="shared" si="3"/>
        <v>1000</v>
      </c>
      <c r="H20" s="156">
        <f t="shared" ref="H20:H35" si="5">G20*52/12</f>
        <v>4333.333333333333</v>
      </c>
      <c r="I20" s="140" t="s">
        <v>68</v>
      </c>
      <c r="J20" s="73"/>
      <c r="K20" s="32">
        <f t="shared" si="4"/>
        <v>52000</v>
      </c>
      <c r="L20" s="32">
        <f t="shared" ref="L20:M41" si="6">K20</f>
        <v>52000</v>
      </c>
      <c r="M20" s="32">
        <f t="shared" si="6"/>
        <v>52000</v>
      </c>
      <c r="N20" s="49" t="s">
        <v>195</v>
      </c>
    </row>
    <row r="21" spans="1:14" x14ac:dyDescent="0.25">
      <c r="A21" s="118" t="s">
        <v>21</v>
      </c>
      <c r="B21" s="9" t="s">
        <v>76</v>
      </c>
      <c r="C21" s="118">
        <v>1</v>
      </c>
      <c r="D21" s="118" t="s">
        <v>128</v>
      </c>
      <c r="E21" s="32">
        <v>400</v>
      </c>
      <c r="F21" s="118" t="s">
        <v>68</v>
      </c>
      <c r="G21" s="32">
        <f>C21*E21</f>
        <v>400</v>
      </c>
      <c r="H21" s="156">
        <f t="shared" si="5"/>
        <v>1733.3333333333333</v>
      </c>
      <c r="I21" s="140" t="s">
        <v>68</v>
      </c>
      <c r="J21" s="73"/>
      <c r="K21" s="32">
        <f t="shared" si="4"/>
        <v>20800</v>
      </c>
      <c r="L21" s="32">
        <f t="shared" si="6"/>
        <v>20800</v>
      </c>
      <c r="M21" s="32">
        <f t="shared" si="6"/>
        <v>20800</v>
      </c>
      <c r="N21" s="49" t="s">
        <v>154</v>
      </c>
    </row>
    <row r="22" spans="1:14" x14ac:dyDescent="0.25">
      <c r="A22" s="118" t="s">
        <v>22</v>
      </c>
      <c r="B22" s="9" t="s">
        <v>99</v>
      </c>
      <c r="C22" s="118">
        <v>10</v>
      </c>
      <c r="D22" s="118" t="s">
        <v>122</v>
      </c>
      <c r="E22" s="32">
        <v>670</v>
      </c>
      <c r="F22" s="118" t="s">
        <v>68</v>
      </c>
      <c r="G22" s="32">
        <f t="shared" ref="G22:G35" si="7">C22*E22</f>
        <v>6700</v>
      </c>
      <c r="H22" s="156">
        <f t="shared" si="5"/>
        <v>29033.333333333332</v>
      </c>
      <c r="I22" s="140" t="s">
        <v>68</v>
      </c>
      <c r="J22" s="73"/>
      <c r="K22" s="32">
        <f t="shared" si="4"/>
        <v>348400</v>
      </c>
      <c r="L22" s="32">
        <f t="shared" si="6"/>
        <v>348400</v>
      </c>
      <c r="M22" s="32">
        <f t="shared" si="6"/>
        <v>348400</v>
      </c>
      <c r="N22" s="49" t="s">
        <v>157</v>
      </c>
    </row>
    <row r="23" spans="1:14" x14ac:dyDescent="0.25">
      <c r="A23" s="118" t="s">
        <v>23</v>
      </c>
      <c r="B23" s="9" t="s">
        <v>78</v>
      </c>
      <c r="C23" s="118">
        <v>5</v>
      </c>
      <c r="D23" s="118" t="s">
        <v>122</v>
      </c>
      <c r="E23" s="32">
        <v>1170</v>
      </c>
      <c r="F23" s="118" t="s">
        <v>68</v>
      </c>
      <c r="G23" s="32">
        <f t="shared" si="7"/>
        <v>5850</v>
      </c>
      <c r="H23" s="156">
        <f t="shared" si="5"/>
        <v>25350</v>
      </c>
      <c r="I23" s="140" t="s">
        <v>68</v>
      </c>
      <c r="J23" s="73"/>
      <c r="K23" s="32">
        <f t="shared" si="4"/>
        <v>304200</v>
      </c>
      <c r="L23" s="32">
        <f t="shared" si="6"/>
        <v>304200</v>
      </c>
      <c r="M23" s="32">
        <f t="shared" si="6"/>
        <v>304200</v>
      </c>
      <c r="N23" s="49" t="s">
        <v>157</v>
      </c>
    </row>
    <row r="24" spans="1:14" x14ac:dyDescent="0.25">
      <c r="A24" s="118" t="s">
        <v>28</v>
      </c>
      <c r="B24" s="9" t="s">
        <v>80</v>
      </c>
      <c r="C24" s="118">
        <v>5</v>
      </c>
      <c r="D24" s="118" t="s">
        <v>81</v>
      </c>
      <c r="E24" s="32">
        <v>1000</v>
      </c>
      <c r="F24" s="118" t="s">
        <v>68</v>
      </c>
      <c r="G24" s="32">
        <f t="shared" si="7"/>
        <v>5000</v>
      </c>
      <c r="H24" s="156">
        <f t="shared" si="5"/>
        <v>21666.666666666668</v>
      </c>
      <c r="I24" s="140" t="s">
        <v>68</v>
      </c>
      <c r="J24" s="73"/>
      <c r="K24" s="32">
        <f t="shared" si="4"/>
        <v>260000</v>
      </c>
      <c r="L24" s="32">
        <f t="shared" si="6"/>
        <v>260000</v>
      </c>
      <c r="M24" s="32">
        <f t="shared" si="6"/>
        <v>260000</v>
      </c>
      <c r="N24" s="49" t="s">
        <v>156</v>
      </c>
    </row>
    <row r="25" spans="1:14" x14ac:dyDescent="0.25">
      <c r="A25" s="118" t="s">
        <v>29</v>
      </c>
      <c r="B25" s="9" t="s">
        <v>82</v>
      </c>
      <c r="C25" s="118">
        <v>2</v>
      </c>
      <c r="D25" s="118" t="s">
        <v>121</v>
      </c>
      <c r="E25" s="32">
        <v>270</v>
      </c>
      <c r="F25" s="118" t="s">
        <v>68</v>
      </c>
      <c r="G25" s="32">
        <f t="shared" si="7"/>
        <v>540</v>
      </c>
      <c r="H25" s="156">
        <f t="shared" si="5"/>
        <v>2340</v>
      </c>
      <c r="I25" s="140" t="s">
        <v>68</v>
      </c>
      <c r="J25" s="73"/>
      <c r="K25" s="32">
        <f t="shared" si="4"/>
        <v>28080</v>
      </c>
      <c r="L25" s="32">
        <f t="shared" si="6"/>
        <v>28080</v>
      </c>
      <c r="M25" s="32">
        <f t="shared" si="6"/>
        <v>28080</v>
      </c>
      <c r="N25" s="49" t="s">
        <v>156</v>
      </c>
    </row>
    <row r="26" spans="1:14" x14ac:dyDescent="0.25">
      <c r="A26" s="118" t="s">
        <v>30</v>
      </c>
      <c r="B26" s="9" t="s">
        <v>98</v>
      </c>
      <c r="C26" s="118">
        <v>5</v>
      </c>
      <c r="D26" s="118" t="s">
        <v>122</v>
      </c>
      <c r="E26" s="32">
        <v>1400</v>
      </c>
      <c r="F26" s="118" t="s">
        <v>68</v>
      </c>
      <c r="G26" s="32">
        <f t="shared" si="7"/>
        <v>7000</v>
      </c>
      <c r="H26" s="156">
        <f t="shared" si="5"/>
        <v>30333.333333333332</v>
      </c>
      <c r="I26" s="140" t="s">
        <v>68</v>
      </c>
      <c r="J26" s="73"/>
      <c r="K26" s="32">
        <f t="shared" si="4"/>
        <v>364000</v>
      </c>
      <c r="L26" s="32">
        <f t="shared" si="6"/>
        <v>364000</v>
      </c>
      <c r="M26" s="32">
        <f t="shared" si="6"/>
        <v>364000</v>
      </c>
      <c r="N26" s="49" t="s">
        <v>157</v>
      </c>
    </row>
    <row r="27" spans="1:14" x14ac:dyDescent="0.25">
      <c r="A27" s="118" t="s">
        <v>83</v>
      </c>
      <c r="B27" s="9" t="s">
        <v>161</v>
      </c>
      <c r="C27" s="118">
        <v>3</v>
      </c>
      <c r="D27" s="118" t="s">
        <v>122</v>
      </c>
      <c r="E27" s="32">
        <v>900</v>
      </c>
      <c r="F27" s="118" t="s">
        <v>68</v>
      </c>
      <c r="G27" s="32">
        <f t="shared" si="7"/>
        <v>2700</v>
      </c>
      <c r="H27" s="156">
        <f t="shared" si="5"/>
        <v>11700</v>
      </c>
      <c r="I27" s="140" t="s">
        <v>68</v>
      </c>
      <c r="J27" s="73"/>
      <c r="K27" s="32">
        <f t="shared" si="4"/>
        <v>140400</v>
      </c>
      <c r="L27" s="32">
        <f t="shared" si="6"/>
        <v>140400</v>
      </c>
      <c r="M27" s="32">
        <f t="shared" si="6"/>
        <v>140400</v>
      </c>
      <c r="N27" s="49" t="s">
        <v>156</v>
      </c>
    </row>
    <row r="28" spans="1:14" x14ac:dyDescent="0.25">
      <c r="A28" s="118" t="s">
        <v>85</v>
      </c>
      <c r="B28" s="9" t="s">
        <v>131</v>
      </c>
      <c r="C28" s="118">
        <v>2</v>
      </c>
      <c r="D28" s="118" t="s">
        <v>132</v>
      </c>
      <c r="E28" s="32">
        <v>1200</v>
      </c>
      <c r="F28" s="118" t="s">
        <v>68</v>
      </c>
      <c r="G28" s="32">
        <f t="shared" si="7"/>
        <v>2400</v>
      </c>
      <c r="H28" s="156">
        <f t="shared" si="5"/>
        <v>10400</v>
      </c>
      <c r="I28" s="140" t="s">
        <v>68</v>
      </c>
      <c r="J28" s="73"/>
      <c r="K28" s="32">
        <f t="shared" si="4"/>
        <v>124800</v>
      </c>
      <c r="L28" s="32">
        <f t="shared" si="6"/>
        <v>124800</v>
      </c>
      <c r="M28" s="32">
        <f t="shared" si="6"/>
        <v>124800</v>
      </c>
      <c r="N28" s="49" t="s">
        <v>156</v>
      </c>
    </row>
    <row r="29" spans="1:14" x14ac:dyDescent="0.25">
      <c r="A29" s="118" t="s">
        <v>88</v>
      </c>
      <c r="B29" s="9" t="s">
        <v>162</v>
      </c>
      <c r="C29" s="118">
        <v>1</v>
      </c>
      <c r="D29" s="118" t="s">
        <v>136</v>
      </c>
      <c r="E29" s="32">
        <v>2400</v>
      </c>
      <c r="F29" s="118" t="s">
        <v>68</v>
      </c>
      <c r="G29" s="32">
        <f t="shared" si="7"/>
        <v>2400</v>
      </c>
      <c r="H29" s="156">
        <f t="shared" si="5"/>
        <v>10400</v>
      </c>
      <c r="I29" s="140" t="s">
        <v>68</v>
      </c>
      <c r="J29" s="73"/>
      <c r="K29" s="32">
        <f t="shared" si="4"/>
        <v>124800</v>
      </c>
      <c r="L29" s="32">
        <f t="shared" si="6"/>
        <v>124800</v>
      </c>
      <c r="M29" s="32">
        <f t="shared" si="6"/>
        <v>124800</v>
      </c>
    </row>
    <row r="30" spans="1:14" x14ac:dyDescent="0.25">
      <c r="A30" s="118" t="s">
        <v>89</v>
      </c>
      <c r="B30" s="9" t="s">
        <v>129</v>
      </c>
      <c r="C30" s="118">
        <v>20</v>
      </c>
      <c r="D30" s="118" t="s">
        <v>120</v>
      </c>
      <c r="E30" s="32">
        <f>1150/5</f>
        <v>230</v>
      </c>
      <c r="F30" s="118" t="s">
        <v>68</v>
      </c>
      <c r="G30" s="32">
        <f t="shared" si="7"/>
        <v>4600</v>
      </c>
      <c r="H30" s="156">
        <f t="shared" si="5"/>
        <v>19933.333333333332</v>
      </c>
      <c r="I30" s="140" t="s">
        <v>68</v>
      </c>
      <c r="J30" s="73"/>
      <c r="K30" s="32">
        <f t="shared" si="4"/>
        <v>239200</v>
      </c>
      <c r="L30" s="32">
        <f t="shared" si="6"/>
        <v>239200</v>
      </c>
      <c r="M30" s="32">
        <f t="shared" si="6"/>
        <v>239200</v>
      </c>
      <c r="N30" s="49" t="s">
        <v>159</v>
      </c>
    </row>
    <row r="31" spans="1:14" x14ac:dyDescent="0.25">
      <c r="A31" s="118" t="s">
        <v>90</v>
      </c>
      <c r="B31" s="9" t="s">
        <v>134</v>
      </c>
      <c r="C31" s="118">
        <v>3</v>
      </c>
      <c r="D31" s="118" t="s">
        <v>133</v>
      </c>
      <c r="E31" s="32">
        <v>200</v>
      </c>
      <c r="F31" s="118" t="s">
        <v>68</v>
      </c>
      <c r="G31" s="32">
        <f t="shared" si="7"/>
        <v>600</v>
      </c>
      <c r="H31" s="156">
        <f t="shared" si="5"/>
        <v>2600</v>
      </c>
      <c r="I31" s="140" t="s">
        <v>68</v>
      </c>
      <c r="J31" s="73"/>
      <c r="K31" s="32">
        <f t="shared" si="4"/>
        <v>31200</v>
      </c>
      <c r="L31" s="32">
        <f t="shared" si="6"/>
        <v>31200</v>
      </c>
      <c r="M31" s="32">
        <f t="shared" si="6"/>
        <v>31200</v>
      </c>
      <c r="N31" s="49" t="s">
        <v>156</v>
      </c>
    </row>
    <row r="32" spans="1:14" x14ac:dyDescent="0.25">
      <c r="A32" s="118" t="s">
        <v>91</v>
      </c>
      <c r="B32" s="9" t="s">
        <v>130</v>
      </c>
      <c r="C32" s="118">
        <v>1</v>
      </c>
      <c r="D32" s="118" t="s">
        <v>135</v>
      </c>
      <c r="E32" s="32">
        <v>320</v>
      </c>
      <c r="F32" s="118" t="s">
        <v>68</v>
      </c>
      <c r="G32" s="32">
        <f t="shared" si="7"/>
        <v>320</v>
      </c>
      <c r="H32" s="156">
        <f t="shared" si="5"/>
        <v>1386.6666666666667</v>
      </c>
      <c r="I32" s="140" t="s">
        <v>68</v>
      </c>
      <c r="J32" s="73"/>
      <c r="K32" s="32">
        <f t="shared" si="4"/>
        <v>16640</v>
      </c>
      <c r="L32" s="32">
        <f t="shared" si="6"/>
        <v>16640</v>
      </c>
      <c r="M32" s="32">
        <f t="shared" si="6"/>
        <v>16640</v>
      </c>
      <c r="N32" s="49" t="s">
        <v>156</v>
      </c>
    </row>
    <row r="33" spans="1:16" x14ac:dyDescent="0.25">
      <c r="A33" s="118" t="s">
        <v>92</v>
      </c>
      <c r="B33" s="9" t="s">
        <v>79</v>
      </c>
      <c r="C33" s="118">
        <v>0</v>
      </c>
      <c r="D33" s="118" t="s">
        <v>128</v>
      </c>
      <c r="E33" s="32">
        <v>0</v>
      </c>
      <c r="F33" s="118" t="s">
        <v>68</v>
      </c>
      <c r="G33" s="32">
        <f t="shared" si="7"/>
        <v>0</v>
      </c>
      <c r="H33" s="156">
        <f t="shared" si="5"/>
        <v>0</v>
      </c>
      <c r="I33" s="140" t="s">
        <v>68</v>
      </c>
      <c r="J33" s="73"/>
      <c r="K33" s="32">
        <f t="shared" si="4"/>
        <v>0</v>
      </c>
      <c r="L33" s="32">
        <f t="shared" si="6"/>
        <v>0</v>
      </c>
      <c r="M33" s="32">
        <f t="shared" si="6"/>
        <v>0</v>
      </c>
      <c r="N33" s="49" t="s">
        <v>163</v>
      </c>
    </row>
    <row r="34" spans="1:16" ht="30" x14ac:dyDescent="0.25">
      <c r="A34" s="118" t="s">
        <v>93</v>
      </c>
      <c r="B34" s="103" t="s">
        <v>196</v>
      </c>
      <c r="C34" s="118">
        <v>20</v>
      </c>
      <c r="D34" s="118" t="s">
        <v>120</v>
      </c>
      <c r="E34" s="32">
        <v>40</v>
      </c>
      <c r="F34" s="118" t="s">
        <v>68</v>
      </c>
      <c r="G34" s="32">
        <f t="shared" si="7"/>
        <v>800</v>
      </c>
      <c r="H34" s="156">
        <f t="shared" si="5"/>
        <v>3466.6666666666665</v>
      </c>
      <c r="I34" s="140" t="s">
        <v>68</v>
      </c>
      <c r="J34" s="73"/>
      <c r="K34" s="32">
        <f t="shared" si="4"/>
        <v>41600</v>
      </c>
      <c r="L34" s="32">
        <f t="shared" si="6"/>
        <v>41600</v>
      </c>
      <c r="M34" s="32">
        <f t="shared" si="6"/>
        <v>41600</v>
      </c>
      <c r="N34" s="49" t="s">
        <v>197</v>
      </c>
    </row>
    <row r="35" spans="1:16" x14ac:dyDescent="0.25">
      <c r="A35" s="118" t="s">
        <v>94</v>
      </c>
      <c r="B35" s="9" t="s">
        <v>112</v>
      </c>
      <c r="C35" s="118">
        <v>1</v>
      </c>
      <c r="D35" s="118" t="s">
        <v>124</v>
      </c>
      <c r="E35" s="62">
        <f>ROUNDUP(SUM(C50:C64)/2,-1)</f>
        <v>370</v>
      </c>
      <c r="F35" s="118" t="s">
        <v>68</v>
      </c>
      <c r="G35" s="32">
        <f t="shared" si="7"/>
        <v>370</v>
      </c>
      <c r="H35" s="156">
        <f t="shared" si="5"/>
        <v>1603.3333333333333</v>
      </c>
      <c r="I35" s="140" t="s">
        <v>68</v>
      </c>
      <c r="J35" s="73"/>
      <c r="K35" s="32">
        <f t="shared" si="4"/>
        <v>19240</v>
      </c>
      <c r="L35" s="32">
        <f>K35</f>
        <v>19240</v>
      </c>
      <c r="M35" s="32">
        <f>L35</f>
        <v>19240</v>
      </c>
    </row>
    <row r="36" spans="1:16" x14ac:dyDescent="0.25">
      <c r="A36" s="118"/>
      <c r="C36" s="118"/>
      <c r="D36" s="118"/>
      <c r="E36" s="32"/>
      <c r="F36" s="118"/>
      <c r="G36" s="32"/>
      <c r="H36" s="156"/>
      <c r="I36" s="160"/>
      <c r="J36" s="73"/>
      <c r="K36" s="32"/>
      <c r="L36" s="32"/>
      <c r="M36" s="32"/>
    </row>
    <row r="37" spans="1:16" s="28" customFormat="1" x14ac:dyDescent="0.25">
      <c r="A37" s="59"/>
      <c r="B37" s="57" t="s">
        <v>102</v>
      </c>
      <c r="C37" s="58"/>
      <c r="D37" s="58"/>
      <c r="E37" s="58"/>
      <c r="F37" s="58"/>
      <c r="G37" s="58" t="s">
        <v>103</v>
      </c>
      <c r="H37" s="159" t="s">
        <v>103</v>
      </c>
      <c r="I37" s="161"/>
      <c r="J37" s="119"/>
      <c r="K37" s="60"/>
      <c r="L37" s="60"/>
      <c r="M37" s="60"/>
      <c r="N37" s="61"/>
    </row>
    <row r="38" spans="1:16" x14ac:dyDescent="0.25">
      <c r="A38" s="118" t="s">
        <v>111</v>
      </c>
      <c r="B38" s="9" t="s">
        <v>198</v>
      </c>
      <c r="C38" s="118">
        <v>1</v>
      </c>
      <c r="D38" s="118" t="s">
        <v>124</v>
      </c>
      <c r="E38" s="62">
        <v>4000</v>
      </c>
      <c r="F38" s="118" t="s">
        <v>68</v>
      </c>
      <c r="G38" s="32">
        <f>C38*E38</f>
        <v>4000</v>
      </c>
      <c r="H38" s="156">
        <f t="shared" ref="H38:H44" si="8">G38</f>
        <v>4000</v>
      </c>
      <c r="I38" s="140" t="s">
        <v>68</v>
      </c>
      <c r="J38" s="73"/>
      <c r="K38" s="32">
        <f t="shared" ref="K38:K44" si="9">H38*$M$8</f>
        <v>48000</v>
      </c>
      <c r="L38" s="32">
        <f t="shared" ref="L38:M38" si="10">K38</f>
        <v>48000</v>
      </c>
      <c r="M38" s="32">
        <f t="shared" si="10"/>
        <v>48000</v>
      </c>
    </row>
    <row r="39" spans="1:16" x14ac:dyDescent="0.25">
      <c r="A39" s="118" t="s">
        <v>137</v>
      </c>
      <c r="B39" s="9" t="s">
        <v>228</v>
      </c>
      <c r="C39" s="118">
        <v>20</v>
      </c>
      <c r="D39" s="73" t="s">
        <v>127</v>
      </c>
      <c r="E39" s="32">
        <v>180</v>
      </c>
      <c r="F39" s="118" t="s">
        <v>68</v>
      </c>
      <c r="G39" s="32">
        <f t="shared" si="3"/>
        <v>3600</v>
      </c>
      <c r="H39" s="156">
        <f t="shared" si="8"/>
        <v>3600</v>
      </c>
      <c r="I39" s="140" t="s">
        <v>68</v>
      </c>
      <c r="J39" s="73"/>
      <c r="K39" s="32">
        <f t="shared" si="9"/>
        <v>43200</v>
      </c>
      <c r="L39" s="32">
        <f t="shared" si="6"/>
        <v>43200</v>
      </c>
      <c r="M39" s="32">
        <f t="shared" si="6"/>
        <v>43200</v>
      </c>
      <c r="N39" s="49" t="s">
        <v>170</v>
      </c>
    </row>
    <row r="40" spans="1:16" x14ac:dyDescent="0.25">
      <c r="A40" s="118" t="s">
        <v>138</v>
      </c>
      <c r="B40" s="9" t="s">
        <v>229</v>
      </c>
      <c r="C40" s="118">
        <v>20</v>
      </c>
      <c r="D40" s="73" t="s">
        <v>127</v>
      </c>
      <c r="E40" s="32">
        <v>180</v>
      </c>
      <c r="F40" s="118" t="s">
        <v>68</v>
      </c>
      <c r="G40" s="32">
        <f t="shared" si="3"/>
        <v>3600</v>
      </c>
      <c r="H40" s="156">
        <f t="shared" si="8"/>
        <v>3600</v>
      </c>
      <c r="I40" s="140" t="s">
        <v>68</v>
      </c>
      <c r="J40" s="73"/>
      <c r="K40" s="32">
        <f t="shared" si="9"/>
        <v>43200</v>
      </c>
      <c r="L40" s="32">
        <f t="shared" si="6"/>
        <v>43200</v>
      </c>
      <c r="M40" s="32">
        <f t="shared" si="6"/>
        <v>43200</v>
      </c>
    </row>
    <row r="41" spans="1:16" x14ac:dyDescent="0.25">
      <c r="A41" s="118" t="s">
        <v>139</v>
      </c>
      <c r="B41" s="9" t="s">
        <v>230</v>
      </c>
      <c r="C41" s="118">
        <v>24</v>
      </c>
      <c r="D41" s="73" t="s">
        <v>127</v>
      </c>
      <c r="E41" s="32">
        <f>360/12</f>
        <v>30</v>
      </c>
      <c r="F41" s="118" t="s">
        <v>68</v>
      </c>
      <c r="G41" s="32">
        <f t="shared" si="3"/>
        <v>720</v>
      </c>
      <c r="H41" s="156">
        <f t="shared" si="8"/>
        <v>720</v>
      </c>
      <c r="I41" s="140" t="s">
        <v>68</v>
      </c>
      <c r="J41" s="73"/>
      <c r="K41" s="32">
        <f t="shared" si="9"/>
        <v>8640</v>
      </c>
      <c r="L41" s="32">
        <f t="shared" si="6"/>
        <v>8640</v>
      </c>
      <c r="M41" s="32">
        <f t="shared" si="6"/>
        <v>8640</v>
      </c>
      <c r="N41" s="49" t="s">
        <v>199</v>
      </c>
    </row>
    <row r="42" spans="1:16" x14ac:dyDescent="0.25">
      <c r="A42" s="118" t="s">
        <v>140</v>
      </c>
      <c r="B42" s="9" t="s">
        <v>231</v>
      </c>
      <c r="C42" s="118">
        <v>24</v>
      </c>
      <c r="D42" s="73" t="s">
        <v>127</v>
      </c>
      <c r="E42" s="32">
        <v>300</v>
      </c>
      <c r="F42" s="118" t="s">
        <v>68</v>
      </c>
      <c r="G42" s="32">
        <f t="shared" si="3"/>
        <v>7200</v>
      </c>
      <c r="H42" s="156">
        <f t="shared" si="8"/>
        <v>7200</v>
      </c>
      <c r="I42" s="140" t="s">
        <v>68</v>
      </c>
      <c r="J42" s="73"/>
      <c r="K42" s="32">
        <f t="shared" si="9"/>
        <v>86400</v>
      </c>
      <c r="L42" s="32">
        <f t="shared" ref="L42:M44" si="11">K42</f>
        <v>86400</v>
      </c>
      <c r="M42" s="32">
        <f t="shared" si="11"/>
        <v>86400</v>
      </c>
    </row>
    <row r="43" spans="1:16" x14ac:dyDescent="0.25">
      <c r="A43" s="118" t="s">
        <v>141</v>
      </c>
      <c r="B43" s="9" t="s">
        <v>232</v>
      </c>
      <c r="C43" s="118">
        <v>1</v>
      </c>
      <c r="D43" s="118" t="s">
        <v>128</v>
      </c>
      <c r="E43" s="32">
        <v>300</v>
      </c>
      <c r="F43" s="118" t="s">
        <v>68</v>
      </c>
      <c r="G43" s="32">
        <f t="shared" si="3"/>
        <v>300</v>
      </c>
      <c r="H43" s="156">
        <f t="shared" si="8"/>
        <v>300</v>
      </c>
      <c r="I43" s="140" t="s">
        <v>68</v>
      </c>
      <c r="J43" s="73"/>
      <c r="K43" s="32">
        <f t="shared" si="9"/>
        <v>3600</v>
      </c>
      <c r="L43" s="32">
        <f t="shared" si="11"/>
        <v>3600</v>
      </c>
      <c r="M43" s="32">
        <f t="shared" si="11"/>
        <v>3600</v>
      </c>
      <c r="N43" s="49" t="s">
        <v>171</v>
      </c>
      <c r="O43" s="29"/>
    </row>
    <row r="44" spans="1:16" x14ac:dyDescent="0.25">
      <c r="A44" s="118" t="s">
        <v>142</v>
      </c>
      <c r="B44" s="9" t="s">
        <v>112</v>
      </c>
      <c r="C44" s="118">
        <v>1</v>
      </c>
      <c r="D44" s="118" t="s">
        <v>124</v>
      </c>
      <c r="E44" s="62">
        <f>ROUNDUP(SUM(C39:C42)*2,-1)</f>
        <v>180</v>
      </c>
      <c r="F44" s="118" t="s">
        <v>68</v>
      </c>
      <c r="G44" s="32">
        <f t="shared" si="3"/>
        <v>180</v>
      </c>
      <c r="H44" s="156">
        <f t="shared" si="8"/>
        <v>180</v>
      </c>
      <c r="I44" s="140" t="s">
        <v>68</v>
      </c>
      <c r="J44" s="73"/>
      <c r="K44" s="32">
        <f t="shared" si="9"/>
        <v>2160</v>
      </c>
      <c r="L44" s="32">
        <f t="shared" si="11"/>
        <v>2160</v>
      </c>
      <c r="M44" s="32">
        <f t="shared" si="11"/>
        <v>2160</v>
      </c>
      <c r="O44" s="2"/>
    </row>
    <row r="45" spans="1:16" x14ac:dyDescent="0.25">
      <c r="A45" s="118"/>
      <c r="C45" s="118"/>
      <c r="D45" s="118"/>
      <c r="E45" s="32"/>
      <c r="F45" s="118"/>
      <c r="G45" s="32"/>
      <c r="H45" s="156"/>
      <c r="I45" s="160"/>
      <c r="J45" s="73"/>
      <c r="K45" s="32"/>
      <c r="L45" s="32"/>
      <c r="M45" s="32"/>
    </row>
    <row r="46" spans="1:16" x14ac:dyDescent="0.25">
      <c r="A46" s="21"/>
      <c r="B46" s="127" t="s">
        <v>210</v>
      </c>
      <c r="C46" s="19"/>
      <c r="D46" s="19"/>
      <c r="E46" s="24"/>
      <c r="F46" s="24"/>
      <c r="G46" s="24"/>
      <c r="H46" s="141"/>
      <c r="I46" s="139"/>
      <c r="J46" s="118"/>
      <c r="K46" s="30"/>
      <c r="L46" s="30"/>
      <c r="M46" s="30"/>
      <c r="N46" s="52"/>
      <c r="O46" s="2"/>
    </row>
    <row r="47" spans="1:16" s="125" customFormat="1" x14ac:dyDescent="0.25">
      <c r="A47" s="142" t="s">
        <v>28</v>
      </c>
      <c r="B47" s="143" t="s">
        <v>192</v>
      </c>
      <c r="C47" s="142">
        <v>4</v>
      </c>
      <c r="D47" s="142" t="s">
        <v>172</v>
      </c>
      <c r="E47" s="144">
        <v>175</v>
      </c>
      <c r="F47" s="142" t="s">
        <v>68</v>
      </c>
      <c r="G47" s="144">
        <v>700</v>
      </c>
      <c r="H47" s="145"/>
      <c r="I47" s="146" t="s">
        <v>68</v>
      </c>
      <c r="J47" s="147"/>
      <c r="K47" s="144">
        <v>0</v>
      </c>
      <c r="L47" s="144">
        <f>G47*$M$8</f>
        <v>8400</v>
      </c>
      <c r="M47" s="144">
        <f t="shared" ref="M47" si="12">L47</f>
        <v>8400</v>
      </c>
      <c r="N47" s="148" t="s">
        <v>211</v>
      </c>
      <c r="P47" s="149"/>
    </row>
    <row r="48" spans="1:16" x14ac:dyDescent="0.25">
      <c r="A48" s="118"/>
      <c r="C48" s="118"/>
      <c r="D48" s="118"/>
      <c r="E48" s="32"/>
      <c r="F48" s="118"/>
      <c r="G48" s="32"/>
      <c r="H48" s="150"/>
      <c r="I48" s="140"/>
      <c r="J48" s="118"/>
      <c r="K48" s="32"/>
      <c r="L48" s="32"/>
      <c r="M48" s="32"/>
    </row>
    <row r="49" spans="1:14" s="7" customFormat="1" x14ac:dyDescent="0.25">
      <c r="A49" s="117" t="s">
        <v>7</v>
      </c>
      <c r="B49" s="173" t="s">
        <v>0</v>
      </c>
      <c r="C49" s="173"/>
      <c r="D49" s="173"/>
      <c r="E49" s="173"/>
      <c r="F49" s="173"/>
      <c r="G49" s="31"/>
      <c r="H49" s="162">
        <f>SUM(H12:H48)</f>
        <v>205388.33333333331</v>
      </c>
      <c r="I49" s="163"/>
      <c r="J49" s="120"/>
      <c r="K49" s="31">
        <f>SUM(K12:K48)</f>
        <v>2464660</v>
      </c>
      <c r="L49" s="31">
        <f>SUM(L12:L48)</f>
        <v>2473060</v>
      </c>
      <c r="M49" s="31">
        <f>SUM(M12:M48)</f>
        <v>2473060</v>
      </c>
      <c r="N49" s="53"/>
    </row>
    <row r="50" spans="1:14" ht="24" customHeight="1" x14ac:dyDescent="0.25">
      <c r="G50" s="44"/>
      <c r="H50" s="164"/>
      <c r="I50" s="165"/>
      <c r="J50" s="73"/>
      <c r="K50" s="44"/>
      <c r="L50" s="44"/>
    </row>
    <row r="51" spans="1:14" ht="18.75" x14ac:dyDescent="0.25">
      <c r="A51" s="176" t="s">
        <v>39</v>
      </c>
      <c r="B51" s="176"/>
      <c r="C51" s="176"/>
      <c r="D51" s="176"/>
      <c r="E51" s="176"/>
      <c r="F51" s="176"/>
      <c r="G51" s="176"/>
      <c r="H51" s="166"/>
      <c r="I51" s="167"/>
      <c r="J51" s="73"/>
      <c r="K51" s="34" t="s">
        <v>55</v>
      </c>
      <c r="L51" s="34" t="s">
        <v>54</v>
      </c>
      <c r="M51" s="34" t="s">
        <v>56</v>
      </c>
      <c r="N51" s="50"/>
    </row>
    <row r="52" spans="1:14" x14ac:dyDescent="0.25">
      <c r="A52" s="6" t="s">
        <v>11</v>
      </c>
      <c r="B52" s="6" t="s">
        <v>40</v>
      </c>
      <c r="C52" s="6" t="s">
        <v>47</v>
      </c>
      <c r="D52" s="6" t="s">
        <v>3</v>
      </c>
      <c r="E52" s="6" t="s">
        <v>41</v>
      </c>
      <c r="F52" s="6" t="s">
        <v>3</v>
      </c>
      <c r="G52" s="6" t="s">
        <v>1</v>
      </c>
      <c r="H52" s="155" t="s">
        <v>107</v>
      </c>
      <c r="I52" s="138" t="s">
        <v>3</v>
      </c>
      <c r="J52" s="73"/>
      <c r="K52" s="35" t="s">
        <v>1</v>
      </c>
      <c r="L52" s="35" t="s">
        <v>1</v>
      </c>
      <c r="M52" s="35" t="s">
        <v>1</v>
      </c>
      <c r="N52" s="51"/>
    </row>
    <row r="53" spans="1:14" s="28" customFormat="1" x14ac:dyDescent="0.25">
      <c r="A53" s="59"/>
      <c r="B53" s="57" t="s">
        <v>105</v>
      </c>
      <c r="C53" s="58"/>
      <c r="D53" s="58"/>
      <c r="E53" s="58"/>
      <c r="F53" s="58"/>
      <c r="G53" s="58" t="s">
        <v>104</v>
      </c>
      <c r="H53" s="159" t="s">
        <v>103</v>
      </c>
      <c r="I53" s="161"/>
      <c r="J53" s="119"/>
      <c r="K53" s="60"/>
      <c r="L53" s="60"/>
      <c r="M53" s="60"/>
      <c r="N53" s="61"/>
    </row>
    <row r="54" spans="1:14" x14ac:dyDescent="0.25">
      <c r="A54" s="118" t="s">
        <v>24</v>
      </c>
      <c r="B54" s="9" t="s">
        <v>72</v>
      </c>
      <c r="C54" s="118">
        <f>C19</f>
        <v>35</v>
      </c>
      <c r="D54" s="118" t="str">
        <f>D19</f>
        <v>kg</v>
      </c>
      <c r="E54" s="32">
        <v>60</v>
      </c>
      <c r="F54" s="118" t="s">
        <v>68</v>
      </c>
      <c r="G54" s="32">
        <f t="shared" ref="G54:G68" si="13">C54*E54</f>
        <v>2100</v>
      </c>
      <c r="H54" s="156">
        <f>G54*52/12</f>
        <v>9100</v>
      </c>
      <c r="I54" s="160" t="s">
        <v>68</v>
      </c>
      <c r="J54" s="73"/>
      <c r="K54" s="32">
        <f t="shared" ref="K54:K67" si="14">H54*$M$8</f>
        <v>109200</v>
      </c>
      <c r="L54" s="32">
        <f t="shared" ref="L54:M55" si="15">K54</f>
        <v>109200</v>
      </c>
      <c r="M54" s="32">
        <f t="shared" si="15"/>
        <v>109200</v>
      </c>
    </row>
    <row r="55" spans="1:14" x14ac:dyDescent="0.25">
      <c r="A55" s="118" t="s">
        <v>25</v>
      </c>
      <c r="B55" s="9" t="s">
        <v>73</v>
      </c>
      <c r="C55" s="118">
        <f>C20</f>
        <v>40</v>
      </c>
      <c r="D55" s="118" t="str">
        <f>D20</f>
        <v>kg</v>
      </c>
      <c r="E55" s="32">
        <v>40</v>
      </c>
      <c r="F55" s="118" t="s">
        <v>68</v>
      </c>
      <c r="G55" s="32">
        <f t="shared" si="13"/>
        <v>1600</v>
      </c>
      <c r="H55" s="156">
        <f t="shared" ref="H55:H68" si="16">G55*52/12</f>
        <v>6933.333333333333</v>
      </c>
      <c r="I55" s="160" t="s">
        <v>68</v>
      </c>
      <c r="J55" s="73"/>
      <c r="K55" s="32">
        <f t="shared" si="14"/>
        <v>83200</v>
      </c>
      <c r="L55" s="32">
        <f t="shared" si="15"/>
        <v>83200</v>
      </c>
      <c r="M55" s="32">
        <f t="shared" si="15"/>
        <v>83200</v>
      </c>
    </row>
    <row r="56" spans="1:14" x14ac:dyDescent="0.25">
      <c r="A56" s="118" t="s">
        <v>26</v>
      </c>
      <c r="B56" s="9" t="s">
        <v>99</v>
      </c>
      <c r="C56" s="56">
        <f>C22</f>
        <v>10</v>
      </c>
      <c r="D56" s="118" t="s">
        <v>120</v>
      </c>
      <c r="E56" s="32">
        <v>790</v>
      </c>
      <c r="F56" s="118" t="s">
        <v>68</v>
      </c>
      <c r="G56" s="32">
        <f t="shared" si="13"/>
        <v>7900</v>
      </c>
      <c r="H56" s="156">
        <f t="shared" si="16"/>
        <v>34233.333333333336</v>
      </c>
      <c r="I56" s="160" t="s">
        <v>68</v>
      </c>
      <c r="J56" s="73"/>
      <c r="K56" s="32">
        <f t="shared" si="14"/>
        <v>410800</v>
      </c>
      <c r="L56" s="32">
        <f>K56</f>
        <v>410800</v>
      </c>
      <c r="M56" s="32">
        <f>L56</f>
        <v>410800</v>
      </c>
    </row>
    <row r="57" spans="1:14" x14ac:dyDescent="0.25">
      <c r="A57" s="118" t="s">
        <v>74</v>
      </c>
      <c r="B57" s="9" t="s">
        <v>78</v>
      </c>
      <c r="C57" s="118">
        <f>C23*50</f>
        <v>250</v>
      </c>
      <c r="D57" s="118" t="s">
        <v>120</v>
      </c>
      <c r="E57" s="32">
        <v>25</v>
      </c>
      <c r="F57" s="118" t="s">
        <v>68</v>
      </c>
      <c r="G57" s="32">
        <f t="shared" si="13"/>
        <v>6250</v>
      </c>
      <c r="H57" s="156">
        <f t="shared" si="16"/>
        <v>27083.333333333332</v>
      </c>
      <c r="I57" s="160" t="s">
        <v>68</v>
      </c>
      <c r="J57" s="73"/>
      <c r="K57" s="32">
        <f t="shared" si="14"/>
        <v>325000</v>
      </c>
      <c r="L57" s="32">
        <f t="shared" ref="L57:M67" si="17">K57</f>
        <v>325000</v>
      </c>
      <c r="M57" s="32">
        <f t="shared" si="17"/>
        <v>325000</v>
      </c>
    </row>
    <row r="58" spans="1:14" x14ac:dyDescent="0.25">
      <c r="A58" s="118" t="s">
        <v>75</v>
      </c>
      <c r="B58" s="9" t="s">
        <v>80</v>
      </c>
      <c r="C58" s="118">
        <f>C24</f>
        <v>5</v>
      </c>
      <c r="D58" s="118" t="s">
        <v>126</v>
      </c>
      <c r="E58" s="32">
        <v>1200</v>
      </c>
      <c r="F58" s="118" t="s">
        <v>68</v>
      </c>
      <c r="G58" s="32">
        <f t="shared" si="13"/>
        <v>6000</v>
      </c>
      <c r="H58" s="156">
        <f t="shared" si="16"/>
        <v>26000</v>
      </c>
      <c r="I58" s="160" t="s">
        <v>68</v>
      </c>
      <c r="J58" s="73"/>
      <c r="K58" s="32">
        <f t="shared" si="14"/>
        <v>312000</v>
      </c>
      <c r="L58" s="32">
        <f t="shared" si="17"/>
        <v>312000</v>
      </c>
      <c r="M58" s="32">
        <f t="shared" si="17"/>
        <v>312000</v>
      </c>
      <c r="N58" s="49" t="s">
        <v>158</v>
      </c>
    </row>
    <row r="59" spans="1:14" x14ac:dyDescent="0.25">
      <c r="A59" s="118" t="s">
        <v>119</v>
      </c>
      <c r="B59" s="9" t="s">
        <v>125</v>
      </c>
      <c r="C59" s="118">
        <f>C24</f>
        <v>5</v>
      </c>
      <c r="D59" s="118" t="s">
        <v>126</v>
      </c>
      <c r="E59" s="32">
        <v>50</v>
      </c>
      <c r="F59" s="118" t="s">
        <v>68</v>
      </c>
      <c r="G59" s="32">
        <f t="shared" si="13"/>
        <v>250</v>
      </c>
      <c r="H59" s="156">
        <f t="shared" si="16"/>
        <v>1083.3333333333333</v>
      </c>
      <c r="I59" s="160" t="s">
        <v>68</v>
      </c>
      <c r="J59" s="73"/>
      <c r="K59" s="32">
        <f t="shared" si="14"/>
        <v>13000</v>
      </c>
      <c r="L59" s="32">
        <f t="shared" si="17"/>
        <v>13000</v>
      </c>
      <c r="M59" s="32">
        <f t="shared" si="17"/>
        <v>13000</v>
      </c>
    </row>
    <row r="60" spans="1:14" x14ac:dyDescent="0.25">
      <c r="A60" s="118" t="s">
        <v>84</v>
      </c>
      <c r="B60" s="9" t="s">
        <v>82</v>
      </c>
      <c r="C60" s="118">
        <f>C25*10</f>
        <v>20</v>
      </c>
      <c r="D60" s="118" t="s">
        <v>120</v>
      </c>
      <c r="E60" s="32">
        <v>40</v>
      </c>
      <c r="F60" s="118" t="s">
        <v>68</v>
      </c>
      <c r="G60" s="32">
        <f t="shared" si="13"/>
        <v>800</v>
      </c>
      <c r="H60" s="156">
        <f t="shared" si="16"/>
        <v>3466.6666666666665</v>
      </c>
      <c r="I60" s="160" t="s">
        <v>68</v>
      </c>
      <c r="J60" s="73"/>
      <c r="K60" s="32">
        <f t="shared" si="14"/>
        <v>41600</v>
      </c>
      <c r="L60" s="32">
        <f t="shared" si="17"/>
        <v>41600</v>
      </c>
      <c r="M60" s="32">
        <f t="shared" si="17"/>
        <v>41600</v>
      </c>
    </row>
    <row r="61" spans="1:14" x14ac:dyDescent="0.25">
      <c r="A61" s="118" t="s">
        <v>86</v>
      </c>
      <c r="B61" s="9" t="s">
        <v>98</v>
      </c>
      <c r="C61" s="56">
        <f>C26</f>
        <v>5</v>
      </c>
      <c r="D61" s="118" t="s">
        <v>122</v>
      </c>
      <c r="E61" s="32">
        <v>1600</v>
      </c>
      <c r="F61" s="118" t="s">
        <v>68</v>
      </c>
      <c r="G61" s="32">
        <f t="shared" si="13"/>
        <v>8000</v>
      </c>
      <c r="H61" s="156">
        <f t="shared" si="16"/>
        <v>34666.666666666664</v>
      </c>
      <c r="I61" s="160" t="s">
        <v>68</v>
      </c>
      <c r="J61" s="73"/>
      <c r="K61" s="32">
        <f t="shared" si="14"/>
        <v>416000</v>
      </c>
      <c r="L61" s="32">
        <f t="shared" si="17"/>
        <v>416000</v>
      </c>
      <c r="M61" s="32">
        <f t="shared" si="17"/>
        <v>416000</v>
      </c>
    </row>
    <row r="62" spans="1:14" x14ac:dyDescent="0.25">
      <c r="A62" s="118" t="s">
        <v>87</v>
      </c>
      <c r="B62" s="9" t="s">
        <v>161</v>
      </c>
      <c r="C62" s="56">
        <f>C27*50</f>
        <v>150</v>
      </c>
      <c r="D62" s="118" t="s">
        <v>122</v>
      </c>
      <c r="E62" s="32">
        <v>20</v>
      </c>
      <c r="F62" s="118" t="s">
        <v>68</v>
      </c>
      <c r="G62" s="32">
        <f t="shared" si="13"/>
        <v>3000</v>
      </c>
      <c r="H62" s="156">
        <f t="shared" si="16"/>
        <v>13000</v>
      </c>
      <c r="I62" s="160" t="s">
        <v>68</v>
      </c>
      <c r="J62" s="73"/>
      <c r="K62" s="32">
        <f t="shared" si="14"/>
        <v>156000</v>
      </c>
      <c r="L62" s="32">
        <f t="shared" si="17"/>
        <v>156000</v>
      </c>
      <c r="M62" s="32">
        <f t="shared" si="17"/>
        <v>156000</v>
      </c>
    </row>
    <row r="63" spans="1:14" x14ac:dyDescent="0.25">
      <c r="A63" s="118" t="s">
        <v>95</v>
      </c>
      <c r="B63" s="9" t="s">
        <v>131</v>
      </c>
      <c r="C63" s="56">
        <f>C28*96</f>
        <v>192</v>
      </c>
      <c r="D63" s="118" t="s">
        <v>127</v>
      </c>
      <c r="E63" s="32">
        <v>15</v>
      </c>
      <c r="F63" s="118" t="s">
        <v>68</v>
      </c>
      <c r="G63" s="32">
        <f t="shared" si="13"/>
        <v>2880</v>
      </c>
      <c r="H63" s="156">
        <f t="shared" si="16"/>
        <v>12480</v>
      </c>
      <c r="I63" s="160" t="s">
        <v>68</v>
      </c>
      <c r="J63" s="73"/>
      <c r="K63" s="32">
        <f t="shared" si="14"/>
        <v>149760</v>
      </c>
      <c r="L63" s="32">
        <f t="shared" si="17"/>
        <v>149760</v>
      </c>
      <c r="M63" s="32">
        <f t="shared" si="17"/>
        <v>149760</v>
      </c>
    </row>
    <row r="64" spans="1:14" x14ac:dyDescent="0.25">
      <c r="A64" s="118" t="s">
        <v>96</v>
      </c>
      <c r="B64" s="9" t="s">
        <v>162</v>
      </c>
      <c r="C64" s="56">
        <f>C29*25</f>
        <v>25</v>
      </c>
      <c r="D64" s="118" t="s">
        <v>120</v>
      </c>
      <c r="E64" s="32">
        <v>100</v>
      </c>
      <c r="F64" s="118" t="s">
        <v>68</v>
      </c>
      <c r="G64" s="32">
        <f t="shared" si="13"/>
        <v>2500</v>
      </c>
      <c r="H64" s="156">
        <f t="shared" si="16"/>
        <v>10833.333333333334</v>
      </c>
      <c r="I64" s="160" t="s">
        <v>68</v>
      </c>
      <c r="J64" s="73"/>
      <c r="K64" s="32">
        <f t="shared" si="14"/>
        <v>130000</v>
      </c>
      <c r="L64" s="32">
        <f t="shared" si="17"/>
        <v>130000</v>
      </c>
      <c r="M64" s="32">
        <f t="shared" si="17"/>
        <v>130000</v>
      </c>
    </row>
    <row r="65" spans="1:17" x14ac:dyDescent="0.25">
      <c r="A65" s="118" t="s">
        <v>97</v>
      </c>
      <c r="B65" s="9" t="s">
        <v>129</v>
      </c>
      <c r="C65" s="56">
        <f>C30</f>
        <v>20</v>
      </c>
      <c r="D65" s="118" t="s">
        <v>120</v>
      </c>
      <c r="E65" s="32">
        <v>300</v>
      </c>
      <c r="F65" s="118" t="s">
        <v>68</v>
      </c>
      <c r="G65" s="32">
        <f t="shared" si="13"/>
        <v>6000</v>
      </c>
      <c r="H65" s="156">
        <f t="shared" si="16"/>
        <v>26000</v>
      </c>
      <c r="I65" s="160" t="s">
        <v>68</v>
      </c>
      <c r="J65" s="73"/>
      <c r="K65" s="32">
        <f t="shared" si="14"/>
        <v>312000</v>
      </c>
      <c r="L65" s="32">
        <f t="shared" si="17"/>
        <v>312000</v>
      </c>
      <c r="M65" s="32">
        <f t="shared" si="17"/>
        <v>312000</v>
      </c>
      <c r="N65" s="49" t="s">
        <v>160</v>
      </c>
    </row>
    <row r="66" spans="1:17" x14ac:dyDescent="0.25">
      <c r="A66" s="118" t="s">
        <v>108</v>
      </c>
      <c r="B66" s="9" t="s">
        <v>134</v>
      </c>
      <c r="C66" s="56">
        <f>C31*18</f>
        <v>54</v>
      </c>
      <c r="D66" s="118" t="s">
        <v>127</v>
      </c>
      <c r="E66" s="32">
        <v>20</v>
      </c>
      <c r="F66" s="118" t="s">
        <v>68</v>
      </c>
      <c r="G66" s="32">
        <f t="shared" si="13"/>
        <v>1080</v>
      </c>
      <c r="H66" s="156">
        <f t="shared" si="16"/>
        <v>4680</v>
      </c>
      <c r="I66" s="160" t="s">
        <v>68</v>
      </c>
      <c r="J66" s="73"/>
      <c r="K66" s="32">
        <f t="shared" si="14"/>
        <v>56160</v>
      </c>
      <c r="L66" s="32">
        <f t="shared" si="17"/>
        <v>56160</v>
      </c>
      <c r="M66" s="32">
        <f t="shared" si="17"/>
        <v>56160</v>
      </c>
    </row>
    <row r="67" spans="1:17" x14ac:dyDescent="0.25">
      <c r="A67" s="118" t="s">
        <v>109</v>
      </c>
      <c r="B67" s="9" t="s">
        <v>130</v>
      </c>
      <c r="C67" s="56">
        <f>C32*150</f>
        <v>150</v>
      </c>
      <c r="D67" s="118" t="s">
        <v>127</v>
      </c>
      <c r="E67" s="74">
        <v>2.5</v>
      </c>
      <c r="F67" s="118" t="s">
        <v>68</v>
      </c>
      <c r="G67" s="32">
        <f t="shared" si="13"/>
        <v>375</v>
      </c>
      <c r="H67" s="156">
        <f t="shared" si="16"/>
        <v>1625</v>
      </c>
      <c r="I67" s="160" t="s">
        <v>68</v>
      </c>
      <c r="J67" s="73"/>
      <c r="K67" s="32">
        <f t="shared" si="14"/>
        <v>19500</v>
      </c>
      <c r="L67" s="32">
        <f t="shared" si="17"/>
        <v>19500</v>
      </c>
      <c r="M67" s="32">
        <f t="shared" si="17"/>
        <v>19500</v>
      </c>
    </row>
    <row r="68" spans="1:17" x14ac:dyDescent="0.25">
      <c r="A68" s="118" t="s">
        <v>110</v>
      </c>
      <c r="B68" s="9" t="s">
        <v>149</v>
      </c>
      <c r="C68" s="56">
        <f>C34</f>
        <v>20</v>
      </c>
      <c r="D68" s="118" t="s">
        <v>120</v>
      </c>
      <c r="E68" s="32">
        <v>50</v>
      </c>
      <c r="F68" s="118" t="s">
        <v>68</v>
      </c>
      <c r="G68" s="32">
        <f t="shared" si="13"/>
        <v>1000</v>
      </c>
      <c r="H68" s="156">
        <f t="shared" si="16"/>
        <v>4333.333333333333</v>
      </c>
      <c r="I68" s="160" t="s">
        <v>68</v>
      </c>
      <c r="J68" s="73"/>
      <c r="K68" s="32"/>
      <c r="L68" s="32"/>
      <c r="M68" s="32"/>
    </row>
    <row r="69" spans="1:17" x14ac:dyDescent="0.25">
      <c r="A69" s="118"/>
      <c r="C69" s="56"/>
      <c r="D69" s="118"/>
      <c r="E69" s="74"/>
      <c r="F69" s="118"/>
      <c r="G69" s="32"/>
      <c r="H69" s="156"/>
      <c r="I69" s="160"/>
      <c r="J69" s="73"/>
      <c r="K69" s="32"/>
      <c r="L69" s="32"/>
      <c r="M69" s="32"/>
    </row>
    <row r="70" spans="1:17" s="28" customFormat="1" x14ac:dyDescent="0.25">
      <c r="A70" s="59"/>
      <c r="B70" s="57" t="s">
        <v>106</v>
      </c>
      <c r="C70" s="58"/>
      <c r="D70" s="58"/>
      <c r="E70" s="58"/>
      <c r="F70" s="58"/>
      <c r="G70" s="58" t="s">
        <v>103</v>
      </c>
      <c r="H70" s="159" t="s">
        <v>103</v>
      </c>
      <c r="I70" s="161"/>
      <c r="J70" s="119"/>
      <c r="K70" s="60"/>
      <c r="L70" s="60"/>
      <c r="M70" s="60"/>
      <c r="N70" s="61"/>
    </row>
    <row r="71" spans="1:17" x14ac:dyDescent="0.25">
      <c r="A71" s="118" t="s">
        <v>143</v>
      </c>
      <c r="B71" s="9" t="s">
        <v>198</v>
      </c>
      <c r="C71" s="118">
        <v>1</v>
      </c>
      <c r="D71" s="118" t="s">
        <v>124</v>
      </c>
      <c r="E71" s="62">
        <v>4500</v>
      </c>
      <c r="F71" s="118" t="s">
        <v>68</v>
      </c>
      <c r="G71" s="32">
        <f>C71*E71</f>
        <v>4500</v>
      </c>
      <c r="H71" s="156">
        <f t="shared" ref="H71:H75" si="18">G71</f>
        <v>4500</v>
      </c>
      <c r="I71" s="160" t="s">
        <v>68</v>
      </c>
      <c r="J71" s="73"/>
      <c r="K71" s="32">
        <f>H71*$M$8</f>
        <v>54000</v>
      </c>
      <c r="L71" s="32">
        <f t="shared" ref="L71:M75" si="19">K71</f>
        <v>54000</v>
      </c>
      <c r="M71" s="32">
        <f t="shared" si="19"/>
        <v>54000</v>
      </c>
    </row>
    <row r="72" spans="1:17" x14ac:dyDescent="0.25">
      <c r="A72" s="118" t="s">
        <v>144</v>
      </c>
      <c r="B72" s="9" t="s">
        <v>228</v>
      </c>
      <c r="C72" s="118">
        <f>C39</f>
        <v>20</v>
      </c>
      <c r="D72" s="73" t="s">
        <v>127</v>
      </c>
      <c r="E72" s="32">
        <v>220</v>
      </c>
      <c r="F72" s="118" t="s">
        <v>68</v>
      </c>
      <c r="G72" s="32">
        <f t="shared" ref="G72:G75" si="20">C72*E72</f>
        <v>4400</v>
      </c>
      <c r="H72" s="156">
        <f t="shared" si="18"/>
        <v>4400</v>
      </c>
      <c r="I72" s="160" t="s">
        <v>68</v>
      </c>
      <c r="J72" s="73"/>
      <c r="K72" s="32">
        <f>H72*$M$8</f>
        <v>52800</v>
      </c>
      <c r="L72" s="32">
        <f t="shared" si="19"/>
        <v>52800</v>
      </c>
      <c r="M72" s="32">
        <f t="shared" si="19"/>
        <v>52800</v>
      </c>
      <c r="N72" s="49" t="s">
        <v>169</v>
      </c>
    </row>
    <row r="73" spans="1:17" x14ac:dyDescent="0.25">
      <c r="A73" s="118" t="s">
        <v>145</v>
      </c>
      <c r="B73" s="9" t="s">
        <v>229</v>
      </c>
      <c r="C73" s="118">
        <f>C40</f>
        <v>20</v>
      </c>
      <c r="D73" s="73" t="s">
        <v>127</v>
      </c>
      <c r="E73" s="32">
        <v>240</v>
      </c>
      <c r="F73" s="118" t="s">
        <v>68</v>
      </c>
      <c r="G73" s="32">
        <f t="shared" si="20"/>
        <v>4800</v>
      </c>
      <c r="H73" s="156">
        <f t="shared" si="18"/>
        <v>4800</v>
      </c>
      <c r="I73" s="160" t="s">
        <v>68</v>
      </c>
      <c r="J73" s="73"/>
      <c r="K73" s="32">
        <f>H73*$M$8</f>
        <v>57600</v>
      </c>
      <c r="L73" s="32">
        <f t="shared" si="19"/>
        <v>57600</v>
      </c>
      <c r="M73" s="32">
        <f t="shared" si="19"/>
        <v>57600</v>
      </c>
    </row>
    <row r="74" spans="1:17" x14ac:dyDescent="0.25">
      <c r="A74" s="118" t="s">
        <v>150</v>
      </c>
      <c r="B74" s="9" t="s">
        <v>230</v>
      </c>
      <c r="C74" s="118">
        <f>C41</f>
        <v>24</v>
      </c>
      <c r="D74" s="73" t="s">
        <v>127</v>
      </c>
      <c r="E74" s="32">
        <v>50</v>
      </c>
      <c r="F74" s="118" t="s">
        <v>68</v>
      </c>
      <c r="G74" s="32">
        <f t="shared" si="20"/>
        <v>1200</v>
      </c>
      <c r="H74" s="156">
        <f t="shared" si="18"/>
        <v>1200</v>
      </c>
      <c r="I74" s="160" t="s">
        <v>68</v>
      </c>
      <c r="J74" s="73"/>
      <c r="K74" s="32">
        <f>H74*$M$8</f>
        <v>14400</v>
      </c>
      <c r="L74" s="32">
        <f t="shared" si="19"/>
        <v>14400</v>
      </c>
      <c r="M74" s="32">
        <f t="shared" si="19"/>
        <v>14400</v>
      </c>
    </row>
    <row r="75" spans="1:17" x14ac:dyDescent="0.25">
      <c r="A75" s="118" t="s">
        <v>151</v>
      </c>
      <c r="B75" s="9" t="s">
        <v>231</v>
      </c>
      <c r="C75" s="118">
        <f>C42</f>
        <v>24</v>
      </c>
      <c r="D75" s="73" t="s">
        <v>127</v>
      </c>
      <c r="E75" s="32">
        <v>350</v>
      </c>
      <c r="F75" s="118" t="s">
        <v>68</v>
      </c>
      <c r="G75" s="32">
        <f t="shared" si="20"/>
        <v>8400</v>
      </c>
      <c r="H75" s="156">
        <f t="shared" si="18"/>
        <v>8400</v>
      </c>
      <c r="I75" s="160" t="s">
        <v>68</v>
      </c>
      <c r="J75" s="73"/>
      <c r="K75" s="32">
        <f>H75*$M$8</f>
        <v>100800</v>
      </c>
      <c r="L75" s="32">
        <f t="shared" si="19"/>
        <v>100800</v>
      </c>
      <c r="M75" s="32">
        <f t="shared" si="19"/>
        <v>100800</v>
      </c>
    </row>
    <row r="76" spans="1:17" x14ac:dyDescent="0.25">
      <c r="A76" s="118"/>
      <c r="C76" s="118"/>
      <c r="D76" s="118"/>
      <c r="E76" s="118"/>
      <c r="F76" s="118"/>
      <c r="G76" s="32"/>
      <c r="H76" s="156"/>
      <c r="I76" s="160"/>
      <c r="J76" s="73"/>
      <c r="K76" s="32"/>
      <c r="L76" s="32"/>
      <c r="M76" s="32"/>
    </row>
    <row r="77" spans="1:17" x14ac:dyDescent="0.25">
      <c r="A77" s="21"/>
      <c r="B77" s="127" t="s">
        <v>240</v>
      </c>
      <c r="C77" s="19"/>
      <c r="D77" s="19"/>
      <c r="E77" s="24"/>
      <c r="F77" s="24"/>
      <c r="G77" s="24"/>
      <c r="H77" s="141"/>
      <c r="I77" s="139"/>
      <c r="J77" s="118"/>
      <c r="K77" s="30"/>
      <c r="L77" s="30"/>
      <c r="M77" s="30"/>
      <c r="N77" s="52"/>
      <c r="O77" s="2"/>
    </row>
    <row r="78" spans="1:17" s="125" customFormat="1" x14ac:dyDescent="0.25">
      <c r="A78" s="142" t="s">
        <v>215</v>
      </c>
      <c r="B78" s="143" t="s">
        <v>221</v>
      </c>
      <c r="C78" s="142">
        <v>1</v>
      </c>
      <c r="D78" s="142" t="s">
        <v>124</v>
      </c>
      <c r="E78" s="144">
        <f>(SUM(H54:H55)-SUM(H19:H21))*4</f>
        <v>9533.3333333333285</v>
      </c>
      <c r="F78" s="142" t="s">
        <v>68</v>
      </c>
      <c r="G78" s="144">
        <f t="shared" ref="G78:G83" si="21">C78*E78</f>
        <v>9533.3333333333285</v>
      </c>
      <c r="H78" s="145"/>
      <c r="I78" s="151" t="s">
        <v>68</v>
      </c>
      <c r="J78" s="147"/>
      <c r="K78" s="144">
        <f t="shared" ref="K78:K83" si="22">H78*$M$8</f>
        <v>0</v>
      </c>
      <c r="L78" s="144">
        <f>G78*$M$8</f>
        <v>114399.99999999994</v>
      </c>
      <c r="M78" s="144">
        <f t="shared" ref="M78:M82" si="23">L78</f>
        <v>114399.99999999994</v>
      </c>
      <c r="N78" s="148" t="s">
        <v>224</v>
      </c>
      <c r="P78" s="149"/>
    </row>
    <row r="79" spans="1:17" s="152" customFormat="1" x14ac:dyDescent="0.25">
      <c r="A79" s="142" t="s">
        <v>216</v>
      </c>
      <c r="B79" s="143" t="s">
        <v>222</v>
      </c>
      <c r="C79" s="142">
        <v>1</v>
      </c>
      <c r="D79" s="142" t="s">
        <v>124</v>
      </c>
      <c r="E79" s="144">
        <f>(SUM(H56:H67)-SUM(H22:H33)-H35)*0.5</f>
        <v>14202.50000000002</v>
      </c>
      <c r="F79" s="142" t="s">
        <v>68</v>
      </c>
      <c r="G79" s="144">
        <f t="shared" si="21"/>
        <v>14202.50000000002</v>
      </c>
      <c r="H79" s="145"/>
      <c r="I79" s="151" t="s">
        <v>68</v>
      </c>
      <c r="J79" s="147"/>
      <c r="K79" s="144">
        <f t="shared" si="22"/>
        <v>0</v>
      </c>
      <c r="L79" s="144">
        <f t="shared" ref="L79:L82" si="24">G79*$M$8</f>
        <v>170430.00000000023</v>
      </c>
      <c r="M79" s="144">
        <f t="shared" si="23"/>
        <v>170430.00000000023</v>
      </c>
      <c r="N79" s="148" t="s">
        <v>225</v>
      </c>
      <c r="P79" s="149"/>
      <c r="Q79" s="153"/>
    </row>
    <row r="80" spans="1:17" s="125" customFormat="1" x14ac:dyDescent="0.25">
      <c r="A80" s="142" t="s">
        <v>217</v>
      </c>
      <c r="B80" s="143" t="s">
        <v>226</v>
      </c>
      <c r="C80" s="142">
        <v>1</v>
      </c>
      <c r="D80" s="142" t="s">
        <v>124</v>
      </c>
      <c r="E80" s="144">
        <f>(SUM(H68)-SUM(H34))*2</f>
        <v>1733.333333333333</v>
      </c>
      <c r="F80" s="142" t="s">
        <v>68</v>
      </c>
      <c r="G80" s="144">
        <f t="shared" si="21"/>
        <v>1733.333333333333</v>
      </c>
      <c r="H80" s="145"/>
      <c r="I80" s="151" t="s">
        <v>68</v>
      </c>
      <c r="J80" s="147"/>
      <c r="K80" s="144">
        <f t="shared" si="22"/>
        <v>0</v>
      </c>
      <c r="L80" s="144">
        <f t="shared" si="24"/>
        <v>20799.999999999996</v>
      </c>
      <c r="M80" s="144">
        <f t="shared" si="23"/>
        <v>20799.999999999996</v>
      </c>
      <c r="N80" s="148"/>
      <c r="Q80" s="149"/>
    </row>
    <row r="81" spans="1:17" s="125" customFormat="1" x14ac:dyDescent="0.25">
      <c r="A81" s="142" t="s">
        <v>218</v>
      </c>
      <c r="B81" s="143" t="s">
        <v>227</v>
      </c>
      <c r="C81" s="142">
        <v>1</v>
      </c>
      <c r="D81" s="142" t="s">
        <v>124</v>
      </c>
      <c r="E81" s="144">
        <f>(SUM(G72:G75)-SUM(G39:G44))*2</f>
        <v>6400</v>
      </c>
      <c r="F81" s="142" t="s">
        <v>68</v>
      </c>
      <c r="G81" s="144">
        <f t="shared" si="21"/>
        <v>6400</v>
      </c>
      <c r="H81" s="145"/>
      <c r="I81" s="151" t="s">
        <v>68</v>
      </c>
      <c r="J81" s="147"/>
      <c r="K81" s="144">
        <f t="shared" si="22"/>
        <v>0</v>
      </c>
      <c r="L81" s="144">
        <f t="shared" si="24"/>
        <v>76800</v>
      </c>
      <c r="M81" s="144">
        <f t="shared" si="23"/>
        <v>76800</v>
      </c>
      <c r="N81" s="148" t="s">
        <v>212</v>
      </c>
      <c r="P81" s="149"/>
    </row>
    <row r="82" spans="1:17" s="152" customFormat="1" x14ac:dyDescent="0.25">
      <c r="A82" s="142" t="s">
        <v>219</v>
      </c>
      <c r="B82" s="143" t="s">
        <v>213</v>
      </c>
      <c r="C82" s="142">
        <v>1</v>
      </c>
      <c r="D82" s="142" t="s">
        <v>124</v>
      </c>
      <c r="E82" s="144">
        <v>12000</v>
      </c>
      <c r="F82" s="142" t="s">
        <v>68</v>
      </c>
      <c r="G82" s="144">
        <f t="shared" si="21"/>
        <v>12000</v>
      </c>
      <c r="H82" s="145"/>
      <c r="I82" s="151" t="s">
        <v>68</v>
      </c>
      <c r="J82" s="147"/>
      <c r="K82" s="144">
        <f t="shared" si="22"/>
        <v>0</v>
      </c>
      <c r="L82" s="144">
        <f t="shared" si="24"/>
        <v>144000</v>
      </c>
      <c r="M82" s="144">
        <f t="shared" si="23"/>
        <v>144000</v>
      </c>
      <c r="N82" s="148"/>
      <c r="P82" s="149"/>
      <c r="Q82" s="153"/>
    </row>
    <row r="83" spans="1:17" s="125" customFormat="1" x14ac:dyDescent="0.25">
      <c r="A83" s="142" t="s">
        <v>220</v>
      </c>
      <c r="B83" s="143" t="s">
        <v>214</v>
      </c>
      <c r="C83" s="142">
        <v>1</v>
      </c>
      <c r="D83" s="142" t="s">
        <v>124</v>
      </c>
      <c r="E83" s="144">
        <v>12000</v>
      </c>
      <c r="F83" s="142" t="s">
        <v>68</v>
      </c>
      <c r="G83" s="144">
        <f t="shared" si="21"/>
        <v>12000</v>
      </c>
      <c r="H83" s="145"/>
      <c r="I83" s="151" t="s">
        <v>68</v>
      </c>
      <c r="J83" s="147"/>
      <c r="K83" s="144">
        <f t="shared" si="22"/>
        <v>0</v>
      </c>
      <c r="L83" s="144">
        <v>0</v>
      </c>
      <c r="M83" s="144">
        <f>G83*M8</f>
        <v>144000</v>
      </c>
      <c r="N83" s="148"/>
      <c r="Q83" s="149"/>
    </row>
    <row r="84" spans="1:17" x14ac:dyDescent="0.25">
      <c r="A84" s="118"/>
      <c r="C84" s="56"/>
      <c r="D84" s="118"/>
      <c r="E84" s="32"/>
      <c r="F84" s="118"/>
      <c r="G84" s="32"/>
      <c r="H84" s="150"/>
      <c r="I84" s="154"/>
      <c r="J84" s="118"/>
      <c r="K84" s="32"/>
      <c r="L84" s="32"/>
      <c r="M84" s="32"/>
      <c r="Q84" s="44"/>
    </row>
    <row r="85" spans="1:17" s="7" customFormat="1" x14ac:dyDescent="0.25">
      <c r="A85" s="117" t="s">
        <v>12</v>
      </c>
      <c r="B85" s="173" t="s">
        <v>0</v>
      </c>
      <c r="C85" s="173"/>
      <c r="D85" s="173"/>
      <c r="E85" s="173"/>
      <c r="F85" s="173"/>
      <c r="G85" s="31"/>
      <c r="H85" s="162">
        <f>SUM(H54:H84)</f>
        <v>238818.33333333334</v>
      </c>
      <c r="I85" s="163" t="s">
        <v>68</v>
      </c>
      <c r="J85" s="120"/>
      <c r="K85" s="31">
        <f>SUM(K54:K84)</f>
        <v>2813820</v>
      </c>
      <c r="L85" s="31">
        <f>SUM(L54:L84)</f>
        <v>3340250</v>
      </c>
      <c r="M85" s="31">
        <f>SUM(M54:M84)</f>
        <v>3484250</v>
      </c>
      <c r="N85" s="53"/>
    </row>
    <row r="86" spans="1:17" x14ac:dyDescent="0.25">
      <c r="H86" s="168"/>
      <c r="I86" s="157"/>
      <c r="J86" s="73"/>
    </row>
    <row r="87" spans="1:17" ht="18.75" x14ac:dyDescent="0.25">
      <c r="A87" s="176" t="s">
        <v>48</v>
      </c>
      <c r="B87" s="176"/>
      <c r="C87" s="176"/>
      <c r="D87" s="176"/>
      <c r="E87" s="176"/>
      <c r="F87" s="176"/>
      <c r="G87" s="176"/>
      <c r="H87" s="166"/>
      <c r="I87" s="167"/>
      <c r="J87" s="73"/>
      <c r="K87" s="34" t="s">
        <v>55</v>
      </c>
      <c r="L87" s="34" t="s">
        <v>54</v>
      </c>
      <c r="M87" s="34" t="s">
        <v>56</v>
      </c>
      <c r="N87" s="50"/>
    </row>
    <row r="88" spans="1:17" x14ac:dyDescent="0.25">
      <c r="A88" s="8" t="s">
        <v>7</v>
      </c>
      <c r="B88" s="192" t="s">
        <v>27</v>
      </c>
      <c r="C88" s="192"/>
      <c r="D88" s="192"/>
      <c r="E88" s="192"/>
      <c r="F88" s="192"/>
      <c r="G88" s="32"/>
      <c r="H88" s="156">
        <f>H49</f>
        <v>205388.33333333331</v>
      </c>
      <c r="I88" s="160" t="s">
        <v>68</v>
      </c>
      <c r="J88" s="73"/>
      <c r="K88" s="32">
        <f>K49</f>
        <v>2464660</v>
      </c>
      <c r="L88" s="32">
        <f>L49</f>
        <v>2473060</v>
      </c>
      <c r="M88" s="32">
        <f>M49</f>
        <v>2473060</v>
      </c>
    </row>
    <row r="89" spans="1:17" x14ac:dyDescent="0.25">
      <c r="A89" s="8" t="s">
        <v>12</v>
      </c>
      <c r="B89" s="192" t="s">
        <v>49</v>
      </c>
      <c r="C89" s="192"/>
      <c r="D89" s="192"/>
      <c r="E89" s="192"/>
      <c r="F89" s="192"/>
      <c r="G89" s="32"/>
      <c r="H89" s="156">
        <f>H85</f>
        <v>238818.33333333334</v>
      </c>
      <c r="I89" s="160" t="s">
        <v>68</v>
      </c>
      <c r="J89" s="73"/>
      <c r="K89" s="32">
        <f>K85</f>
        <v>2813820</v>
      </c>
      <c r="L89" s="32">
        <f>L85</f>
        <v>3340250</v>
      </c>
      <c r="M89" s="32">
        <f>M85</f>
        <v>3484250</v>
      </c>
    </row>
    <row r="90" spans="1:17" s="7" customFormat="1" x14ac:dyDescent="0.25">
      <c r="A90" s="20"/>
      <c r="B90" s="191" t="s">
        <v>65</v>
      </c>
      <c r="C90" s="191"/>
      <c r="D90" s="191"/>
      <c r="E90" s="191"/>
      <c r="F90" s="191"/>
      <c r="G90" s="31"/>
      <c r="H90" s="162">
        <f>H89-H88</f>
        <v>33430.000000000029</v>
      </c>
      <c r="I90" s="163" t="s">
        <v>68</v>
      </c>
      <c r="J90" s="120"/>
      <c r="K90" s="31">
        <f>K89-K88</f>
        <v>349160</v>
      </c>
      <c r="L90" s="31">
        <f>L89-L88</f>
        <v>867190</v>
      </c>
      <c r="M90" s="31">
        <f>M89-M88</f>
        <v>1011190</v>
      </c>
      <c r="N90" s="53"/>
    </row>
    <row r="91" spans="1:17" x14ac:dyDescent="0.25">
      <c r="A91" s="42" t="s">
        <v>9</v>
      </c>
      <c r="B91" s="193" t="s">
        <v>31</v>
      </c>
      <c r="C91" s="193"/>
      <c r="D91" s="193"/>
      <c r="E91" s="193"/>
      <c r="F91" s="193"/>
      <c r="G91" s="43"/>
      <c r="H91" s="169"/>
      <c r="I91" s="170"/>
      <c r="J91" s="73"/>
      <c r="K91" s="32"/>
      <c r="L91" s="43">
        <f>'Info general'!H21</f>
        <v>1450</v>
      </c>
      <c r="M91" s="43">
        <f>'Info general'!H21+'Info general'!H29</f>
        <v>12970</v>
      </c>
      <c r="N91" s="54"/>
    </row>
    <row r="92" spans="1:17" s="7" customFormat="1" ht="15.75" thickBot="1" x14ac:dyDescent="0.3">
      <c r="A92" s="20"/>
      <c r="B92" s="191" t="s">
        <v>66</v>
      </c>
      <c r="C92" s="191"/>
      <c r="D92" s="191"/>
      <c r="E92" s="191"/>
      <c r="F92" s="191"/>
      <c r="G92" s="31"/>
      <c r="H92" s="171">
        <f>H90-H91</f>
        <v>33430.000000000029</v>
      </c>
      <c r="I92" s="172" t="s">
        <v>68</v>
      </c>
      <c r="J92" s="120"/>
      <c r="K92" s="31">
        <f>K90-K91</f>
        <v>349160</v>
      </c>
      <c r="L92" s="31">
        <f t="shared" ref="L92:M92" si="25">L90-L91</f>
        <v>865740</v>
      </c>
      <c r="M92" s="31">
        <f t="shared" si="25"/>
        <v>998220</v>
      </c>
      <c r="N92" s="53"/>
    </row>
    <row r="93" spans="1:17" x14ac:dyDescent="0.25">
      <c r="J93" s="73"/>
    </row>
    <row r="94" spans="1:17" ht="15.75" thickBot="1" x14ac:dyDescent="0.3">
      <c r="B94" s="46"/>
      <c r="C94" s="46"/>
      <c r="J94" s="73"/>
    </row>
    <row r="95" spans="1:17" s="208" customFormat="1" ht="15.75" x14ac:dyDescent="0.25">
      <c r="A95" s="201" t="s">
        <v>235</v>
      </c>
      <c r="B95" s="202"/>
      <c r="C95" s="202"/>
      <c r="D95" s="202"/>
      <c r="E95" s="202"/>
      <c r="F95" s="202"/>
      <c r="G95" s="202"/>
      <c r="H95" s="201" t="s">
        <v>103</v>
      </c>
      <c r="I95" s="203"/>
      <c r="J95" s="204"/>
      <c r="K95" s="205" t="s">
        <v>55</v>
      </c>
      <c r="L95" s="206" t="s">
        <v>54</v>
      </c>
      <c r="M95" s="207" t="s">
        <v>56</v>
      </c>
      <c r="N95" s="49"/>
    </row>
    <row r="96" spans="1:17" x14ac:dyDescent="0.25">
      <c r="A96" s="209" t="s">
        <v>9</v>
      </c>
      <c r="B96" s="210" t="s">
        <v>236</v>
      </c>
      <c r="C96" s="210"/>
      <c r="D96" s="210"/>
      <c r="E96" s="210"/>
      <c r="F96" s="210"/>
      <c r="G96" s="211"/>
      <c r="H96" s="212"/>
      <c r="I96" s="213"/>
      <c r="J96" s="214"/>
      <c r="K96" s="212">
        <f>+'Info general'!F21</f>
        <v>11450</v>
      </c>
      <c r="L96" s="211">
        <f>+'Info general'!F29</f>
        <v>61200</v>
      </c>
      <c r="M96" s="213"/>
    </row>
    <row r="97" spans="1:16" x14ac:dyDescent="0.25">
      <c r="A97" s="209" t="s">
        <v>9</v>
      </c>
      <c r="B97" s="210" t="s">
        <v>31</v>
      </c>
      <c r="C97" s="210"/>
      <c r="D97" s="210"/>
      <c r="E97" s="210"/>
      <c r="F97" s="210"/>
      <c r="G97" s="211"/>
      <c r="H97" s="212"/>
      <c r="I97" s="213"/>
      <c r="J97" s="214"/>
      <c r="K97" s="212"/>
      <c r="L97" s="211">
        <f>+'Info general'!H21</f>
        <v>1450</v>
      </c>
      <c r="M97" s="213">
        <f>+'Info general'!H21+'Info general'!H29</f>
        <v>12970</v>
      </c>
      <c r="P97" s="44"/>
    </row>
    <row r="98" spans="1:16" x14ac:dyDescent="0.25">
      <c r="A98" s="209" t="s">
        <v>7</v>
      </c>
      <c r="B98" s="210" t="s">
        <v>237</v>
      </c>
      <c r="C98" s="210"/>
      <c r="D98" s="210"/>
      <c r="E98" s="210"/>
      <c r="F98" s="210"/>
      <c r="G98" s="211"/>
      <c r="H98" s="212">
        <f>SUM(H13:H16)</f>
        <v>1925</v>
      </c>
      <c r="I98" s="213" t="s">
        <v>68</v>
      </c>
      <c r="J98" s="214"/>
      <c r="K98" s="212">
        <f>SUM(K13:K16)</f>
        <v>23100</v>
      </c>
      <c r="L98" s="211">
        <f>SUM(L13:L16)</f>
        <v>23100</v>
      </c>
      <c r="M98" s="213">
        <f>SUM(M13:M16)</f>
        <v>23100</v>
      </c>
      <c r="P98" s="44"/>
    </row>
    <row r="99" spans="1:16" x14ac:dyDescent="0.25">
      <c r="A99" s="209" t="s">
        <v>7</v>
      </c>
      <c r="B99" s="210" t="s">
        <v>238</v>
      </c>
      <c r="C99" s="210"/>
      <c r="D99" s="210"/>
      <c r="E99" s="210"/>
      <c r="F99" s="210"/>
      <c r="G99" s="211"/>
      <c r="H99" s="212">
        <f>H49-H98</f>
        <v>203463.33333333331</v>
      </c>
      <c r="I99" s="213" t="s">
        <v>68</v>
      </c>
      <c r="J99" s="214"/>
      <c r="K99" s="212">
        <f t="shared" ref="K99:M99" si="26">K49-K98</f>
        <v>2441560</v>
      </c>
      <c r="L99" s="211">
        <f t="shared" si="26"/>
        <v>2449960</v>
      </c>
      <c r="M99" s="213">
        <f t="shared" si="26"/>
        <v>2449960</v>
      </c>
      <c r="P99" s="44"/>
    </row>
    <row r="100" spans="1:16" x14ac:dyDescent="0.25">
      <c r="A100" s="209" t="s">
        <v>12</v>
      </c>
      <c r="B100" s="210" t="s">
        <v>239</v>
      </c>
      <c r="C100" s="210"/>
      <c r="D100" s="210"/>
      <c r="E100" s="210"/>
      <c r="F100" s="210"/>
      <c r="G100" s="211"/>
      <c r="H100" s="212">
        <f>H85</f>
        <v>238818.33333333334</v>
      </c>
      <c r="I100" s="213" t="s">
        <v>68</v>
      </c>
      <c r="J100" s="214"/>
      <c r="K100" s="212">
        <f t="shared" ref="K100:M100" si="27">K85</f>
        <v>2813820</v>
      </c>
      <c r="L100" s="211">
        <f t="shared" si="27"/>
        <v>3340250</v>
      </c>
      <c r="M100" s="213">
        <f t="shared" si="27"/>
        <v>3484250</v>
      </c>
      <c r="P100" s="44"/>
    </row>
    <row r="101" spans="1:16" s="221" customFormat="1" ht="16.5" thickBot="1" x14ac:dyDescent="0.3">
      <c r="A101" s="215"/>
      <c r="B101" s="216" t="s">
        <v>66</v>
      </c>
      <c r="C101" s="216"/>
      <c r="D101" s="216"/>
      <c r="E101" s="216"/>
      <c r="F101" s="216"/>
      <c r="G101" s="217"/>
      <c r="H101" s="218">
        <f>H100-H99-H98</f>
        <v>33430.000000000029</v>
      </c>
      <c r="I101" s="219" t="s">
        <v>68</v>
      </c>
      <c r="J101" s="220"/>
      <c r="K101" s="218">
        <f t="shared" ref="K101" si="28">K100-K99-K98</f>
        <v>349160</v>
      </c>
      <c r="L101" s="217">
        <f>L100-L99-L98-L97-L96</f>
        <v>804540</v>
      </c>
      <c r="M101" s="219">
        <f>M100-M99-M98-M97-M96</f>
        <v>998220</v>
      </c>
      <c r="N101" s="49"/>
      <c r="P101" s="222"/>
    </row>
    <row r="102" spans="1:16" x14ac:dyDescent="0.25">
      <c r="J102" s="73"/>
      <c r="K102" s="9"/>
      <c r="L102" s="9"/>
      <c r="M102" s="9"/>
      <c r="N102" s="9"/>
    </row>
    <row r="103" spans="1:16" x14ac:dyDescent="0.25">
      <c r="J103" s="73"/>
      <c r="K103" s="9"/>
      <c r="L103" s="9"/>
      <c r="M103" s="9"/>
      <c r="N103" s="9"/>
    </row>
    <row r="104" spans="1:16" x14ac:dyDescent="0.25">
      <c r="J104" s="73"/>
      <c r="K104" s="9"/>
      <c r="L104" s="9"/>
      <c r="M104" s="9"/>
      <c r="N104" s="9"/>
    </row>
    <row r="105" spans="1:16" x14ac:dyDescent="0.25">
      <c r="A105" s="11"/>
      <c r="B105" s="11"/>
      <c r="J105" s="73"/>
      <c r="K105" s="9"/>
      <c r="L105" s="9"/>
      <c r="M105" s="9"/>
      <c r="N105" s="9"/>
    </row>
    <row r="106" spans="1:16" x14ac:dyDescent="0.25">
      <c r="A106" s="11"/>
      <c r="B106" s="11"/>
      <c r="J106" s="73"/>
      <c r="K106" s="9"/>
      <c r="L106" s="9"/>
      <c r="M106" s="9"/>
      <c r="N106" s="9"/>
    </row>
    <row r="107" spans="1:16" x14ac:dyDescent="0.25">
      <c r="A107" s="11"/>
      <c r="B107" s="11"/>
      <c r="J107" s="73"/>
      <c r="K107" s="9"/>
      <c r="L107" s="9"/>
      <c r="M107" s="9"/>
      <c r="N107" s="9"/>
    </row>
    <row r="108" spans="1:16" x14ac:dyDescent="0.25">
      <c r="A108" s="11"/>
      <c r="B108" s="11"/>
      <c r="J108" s="73"/>
      <c r="K108" s="9"/>
      <c r="L108" s="9"/>
      <c r="M108" s="9"/>
      <c r="N108" s="9"/>
    </row>
    <row r="109" spans="1:16" x14ac:dyDescent="0.25">
      <c r="A109" s="11"/>
      <c r="B109" s="11"/>
      <c r="J109" s="73"/>
      <c r="K109" s="9"/>
      <c r="L109" s="9"/>
      <c r="M109" s="9"/>
      <c r="N109" s="9"/>
    </row>
    <row r="110" spans="1:16" x14ac:dyDescent="0.25">
      <c r="B110" s="11"/>
      <c r="J110" s="73"/>
      <c r="K110" s="9"/>
      <c r="L110" s="9"/>
      <c r="M110" s="9"/>
      <c r="N110" s="9"/>
    </row>
    <row r="111" spans="1:16" x14ac:dyDescent="0.25">
      <c r="J111" s="73"/>
      <c r="K111" s="9"/>
      <c r="L111" s="9"/>
      <c r="M111" s="9"/>
      <c r="N111" s="9"/>
    </row>
    <row r="112" spans="1:16" x14ac:dyDescent="0.25">
      <c r="J112" s="73"/>
      <c r="K112" s="9"/>
      <c r="L112" s="9"/>
      <c r="M112" s="9"/>
      <c r="N112" s="9"/>
    </row>
    <row r="113" spans="10:14" x14ac:dyDescent="0.25">
      <c r="J113" s="73"/>
      <c r="K113" s="9"/>
      <c r="L113" s="9"/>
      <c r="M113" s="9"/>
      <c r="N113" s="9"/>
    </row>
    <row r="114" spans="10:14" x14ac:dyDescent="0.25">
      <c r="J114" s="73"/>
      <c r="K114" s="9"/>
      <c r="L114" s="9"/>
      <c r="M114" s="9"/>
      <c r="N114" s="9"/>
    </row>
    <row r="115" spans="10:14" x14ac:dyDescent="0.25">
      <c r="J115" s="73"/>
      <c r="K115" s="9"/>
      <c r="L115" s="9"/>
      <c r="M115" s="9"/>
      <c r="N115" s="9"/>
    </row>
    <row r="116" spans="10:14" x14ac:dyDescent="0.25">
      <c r="J116" s="73"/>
      <c r="K116" s="9"/>
      <c r="L116" s="9"/>
      <c r="M116" s="9"/>
      <c r="N116" s="9"/>
    </row>
    <row r="117" spans="10:14" x14ac:dyDescent="0.25">
      <c r="J117" s="73"/>
      <c r="K117" s="9"/>
      <c r="L117" s="9"/>
      <c r="M117" s="9"/>
      <c r="N117" s="9"/>
    </row>
  </sheetData>
  <mergeCells count="23">
    <mergeCell ref="B99:F99"/>
    <mergeCell ref="B100:F100"/>
    <mergeCell ref="B101:F101"/>
    <mergeCell ref="A95:G95"/>
    <mergeCell ref="H95:I95"/>
    <mergeCell ref="B96:F96"/>
    <mergeCell ref="B97:F97"/>
    <mergeCell ref="B98:F98"/>
    <mergeCell ref="A4:M4"/>
    <mergeCell ref="A8:E8"/>
    <mergeCell ref="F8:G8"/>
    <mergeCell ref="A10:G10"/>
    <mergeCell ref="H10:I10"/>
    <mergeCell ref="B91:F91"/>
    <mergeCell ref="B92:F92"/>
    <mergeCell ref="A6:I6"/>
    <mergeCell ref="A51:G51"/>
    <mergeCell ref="B85:F85"/>
    <mergeCell ref="A87:G87"/>
    <mergeCell ref="B88:F88"/>
    <mergeCell ref="B89:F89"/>
    <mergeCell ref="B90:F90"/>
    <mergeCell ref="B49:F49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D68D937-D342-44FD-B2EF-D6D7B522BC3D}">
          <x14:formula1>
            <xm:f>'Info general'!$J$7:$J$15</xm:f>
          </x14:formula1>
          <xm:sqref>F8:G8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D04BC-0F0F-4F6F-8152-CE4DD424903A}">
  <sheetPr>
    <pageSetUpPr fitToPage="1"/>
  </sheetPr>
  <dimension ref="A1:I87"/>
  <sheetViews>
    <sheetView zoomScale="85" zoomScaleNormal="85" workbookViewId="0">
      <selection activeCell="B18" sqref="B18"/>
    </sheetView>
  </sheetViews>
  <sheetFormatPr baseColWidth="10" defaultColWidth="10.85546875" defaultRowHeight="15" x14ac:dyDescent="0.25"/>
  <cols>
    <col min="1" max="1" width="46.5703125" style="103" customWidth="1"/>
    <col min="2" max="5" width="15.7109375" style="9" customWidth="1"/>
    <col min="6" max="6" width="31.42578125" style="64" customWidth="1"/>
    <col min="7" max="7" width="19.7109375" style="9" customWidth="1"/>
    <col min="8" max="16384" width="10.85546875" style="9"/>
  </cols>
  <sheetData>
    <row r="1" spans="1:8" ht="28.5" x14ac:dyDescent="0.25">
      <c r="A1" s="26" t="s">
        <v>173</v>
      </c>
      <c r="B1" s="5"/>
      <c r="C1" s="5"/>
      <c r="E1" s="82"/>
    </row>
    <row r="2" spans="1:8" x14ac:dyDescent="0.25">
      <c r="A2" s="1"/>
      <c r="B2" s="5"/>
      <c r="C2" s="5"/>
      <c r="E2" s="82"/>
    </row>
    <row r="3" spans="1:8" ht="18.75" x14ac:dyDescent="0.25">
      <c r="A3" s="27" t="s">
        <v>164</v>
      </c>
      <c r="E3" s="82"/>
    </row>
    <row r="4" spans="1:8" x14ac:dyDescent="0.25">
      <c r="A4" s="83"/>
      <c r="E4" s="82"/>
    </row>
    <row r="5" spans="1:8" ht="18.75" customHeight="1" x14ac:dyDescent="0.25">
      <c r="A5" s="84" t="s">
        <v>174</v>
      </c>
      <c r="B5" s="84"/>
      <c r="C5" s="84"/>
      <c r="D5" s="84"/>
      <c r="E5" s="84"/>
      <c r="F5" s="67"/>
      <c r="G5" s="38"/>
      <c r="H5" s="2"/>
    </row>
    <row r="6" spans="1:8" ht="18.75" customHeight="1" x14ac:dyDescent="0.25">
      <c r="A6" s="85"/>
      <c r="B6" s="14"/>
      <c r="C6" s="14"/>
      <c r="D6" s="14"/>
      <c r="E6" s="14"/>
      <c r="F6" s="65"/>
      <c r="G6" s="38"/>
      <c r="H6" s="2"/>
    </row>
    <row r="7" spans="1:8" ht="30" customHeight="1" x14ac:dyDescent="0.25">
      <c r="A7" s="86" t="s">
        <v>165</v>
      </c>
      <c r="B7" s="195" t="str">
        <f>'Info general'!C7</f>
        <v>Boutique / magasin de produits diverses, notamment denrées alimentaires de base, poisson, légumes et produits d’hygiène. L’activité se complémente avec la production et commercialisation de couscous (transformation de blé).</v>
      </c>
      <c r="C7" s="196"/>
      <c r="D7" s="196"/>
      <c r="E7" s="196"/>
      <c r="F7" s="197"/>
      <c r="G7" s="38"/>
    </row>
    <row r="8" spans="1:8" ht="18" customHeight="1" x14ac:dyDescent="0.25">
      <c r="A8" s="86" t="s">
        <v>175</v>
      </c>
      <c r="B8" s="198" t="str">
        <f>'Info general'!C8</f>
        <v>Club de mères - Boulahrath</v>
      </c>
      <c r="C8" s="199"/>
      <c r="D8" s="199"/>
      <c r="E8" s="199"/>
      <c r="F8" s="200"/>
      <c r="G8" s="38"/>
    </row>
    <row r="9" spans="1:8" s="3" customFormat="1" x14ac:dyDescent="0.25">
      <c r="A9" s="87" t="s">
        <v>35</v>
      </c>
      <c r="B9" s="76">
        <v>85000</v>
      </c>
      <c r="C9" s="88"/>
      <c r="D9" s="29"/>
      <c r="E9" s="29"/>
      <c r="F9" s="13"/>
      <c r="G9" s="38"/>
    </row>
    <row r="10" spans="1:8" s="3" customFormat="1" ht="15.75" x14ac:dyDescent="0.25">
      <c r="A10" s="89"/>
      <c r="B10" s="77"/>
      <c r="C10" s="77"/>
      <c r="D10" s="77"/>
      <c r="E10" s="77"/>
      <c r="F10" s="77"/>
      <c r="G10" s="38"/>
    </row>
    <row r="11" spans="1:8" ht="18.75" x14ac:dyDescent="0.25">
      <c r="A11" s="90" t="s">
        <v>176</v>
      </c>
      <c r="B11" s="81"/>
      <c r="C11" s="81"/>
      <c r="D11" s="81"/>
      <c r="E11" s="81"/>
      <c r="F11" s="67"/>
      <c r="G11" s="37"/>
    </row>
    <row r="12" spans="1:8" ht="14.45" customHeight="1" x14ac:dyDescent="0.25">
      <c r="A12" s="91" t="s">
        <v>2</v>
      </c>
      <c r="B12" s="6" t="s">
        <v>47</v>
      </c>
      <c r="C12" s="6" t="s">
        <v>3</v>
      </c>
      <c r="D12" s="6" t="s">
        <v>177</v>
      </c>
      <c r="E12" s="6" t="s">
        <v>178</v>
      </c>
      <c r="F12" s="92" t="s">
        <v>179</v>
      </c>
    </row>
    <row r="13" spans="1:8" x14ac:dyDescent="0.25">
      <c r="A13" s="93" t="str">
        <f>'Info general'!B17</f>
        <v>Equipment (estimation)</v>
      </c>
      <c r="B13" s="73">
        <f>'Info general'!C17</f>
        <v>1</v>
      </c>
      <c r="C13" s="82" t="s">
        <v>127</v>
      </c>
      <c r="D13" s="32">
        <f>'Info general'!E17</f>
        <v>5050</v>
      </c>
      <c r="E13" s="32">
        <f t="shared" ref="E13:E14" si="0">B13*D13</f>
        <v>5050</v>
      </c>
      <c r="F13" s="49" t="s">
        <v>180</v>
      </c>
      <c r="G13" s="2"/>
    </row>
    <row r="14" spans="1:8" x14ac:dyDescent="0.25">
      <c r="A14" s="93" t="str">
        <f>'Info general'!B18</f>
        <v>Thermo 24l</v>
      </c>
      <c r="B14" s="73">
        <f>'Info general'!C18</f>
        <v>2</v>
      </c>
      <c r="C14" s="82" t="s">
        <v>127</v>
      </c>
      <c r="D14" s="32">
        <f>'Info general'!E18</f>
        <v>2200</v>
      </c>
      <c r="E14" s="32">
        <f t="shared" si="0"/>
        <v>4400</v>
      </c>
      <c r="F14" s="49" t="s">
        <v>180</v>
      </c>
      <c r="G14" s="2"/>
    </row>
    <row r="15" spans="1:8" ht="30" x14ac:dyDescent="0.25">
      <c r="A15" s="93" t="str">
        <f>'Info general'!B19</f>
        <v>Forfait démarrage (transport matériels, visites fournisseurs, etc.)</v>
      </c>
      <c r="B15" s="73">
        <f>'Info general'!C19</f>
        <v>1</v>
      </c>
      <c r="C15" s="82" t="s">
        <v>127</v>
      </c>
      <c r="D15" s="32">
        <f>'Info general'!E19</f>
        <v>2000</v>
      </c>
      <c r="E15" s="32">
        <f t="shared" ref="E15" si="1">B15*D15</f>
        <v>2000</v>
      </c>
      <c r="F15" s="49" t="s">
        <v>180</v>
      </c>
      <c r="G15" s="2"/>
    </row>
    <row r="16" spans="1:8" x14ac:dyDescent="0.25">
      <c r="A16" s="93"/>
      <c r="B16" s="73"/>
      <c r="C16" s="82"/>
      <c r="D16" s="32"/>
      <c r="E16" s="32"/>
      <c r="F16" s="49"/>
      <c r="G16" s="2"/>
    </row>
    <row r="17" spans="1:7" s="98" customFormat="1" ht="15.75" x14ac:dyDescent="0.25">
      <c r="A17" s="94" t="s">
        <v>181</v>
      </c>
      <c r="B17" s="95"/>
      <c r="C17" s="95"/>
      <c r="D17" s="95"/>
      <c r="E17" s="96">
        <f>SUM(E13:E16)</f>
        <v>11450</v>
      </c>
      <c r="F17" s="97" t="s">
        <v>68</v>
      </c>
    </row>
    <row r="18" spans="1:7" s="79" customFormat="1" x14ac:dyDescent="0.25">
      <c r="A18" s="78"/>
      <c r="B18" s="82"/>
      <c r="D18" s="80"/>
      <c r="E18" s="80"/>
      <c r="F18" s="99"/>
    </row>
    <row r="19" spans="1:7" ht="18.75" x14ac:dyDescent="0.25">
      <c r="A19" s="90" t="s">
        <v>182</v>
      </c>
      <c r="B19" s="81"/>
      <c r="C19" s="81"/>
      <c r="D19" s="81"/>
      <c r="E19" s="81"/>
      <c r="F19" s="67"/>
      <c r="G19" s="37"/>
    </row>
    <row r="20" spans="1:7" ht="14.45" customHeight="1" x14ac:dyDescent="0.25">
      <c r="A20" s="91" t="s">
        <v>32</v>
      </c>
      <c r="B20" s="6" t="s">
        <v>47</v>
      </c>
      <c r="C20" s="6" t="s">
        <v>3</v>
      </c>
      <c r="D20" s="6" t="s">
        <v>177</v>
      </c>
      <c r="E20" s="6" t="s">
        <v>178</v>
      </c>
      <c r="F20" s="92" t="s">
        <v>179</v>
      </c>
    </row>
    <row r="21" spans="1:7" x14ac:dyDescent="0.25">
      <c r="A21" s="100" t="s">
        <v>5</v>
      </c>
      <c r="B21" s="19"/>
      <c r="C21" s="19"/>
      <c r="D21" s="24"/>
      <c r="E21" s="101">
        <f>SUM(E22:E23)</f>
        <v>1100</v>
      </c>
      <c r="F21" s="102" t="s">
        <v>166</v>
      </c>
      <c r="G21" s="2"/>
    </row>
    <row r="22" spans="1:7" x14ac:dyDescent="0.25">
      <c r="A22" s="103" t="str">
        <f>'Plan economique (PAS)'!B11</f>
        <v>Location boutique</v>
      </c>
      <c r="B22" s="82">
        <f>'Plan economique (PAS)'!C11</f>
        <v>1</v>
      </c>
      <c r="C22" s="82" t="str">
        <f>'Plan economique (PAS)'!D11</f>
        <v>loyer</v>
      </c>
      <c r="D22" s="32">
        <f>'Plan economique (PAS)'!E11</f>
        <v>1100</v>
      </c>
      <c r="E22" s="32">
        <f>B22*D22</f>
        <v>1100</v>
      </c>
      <c r="F22" s="105" t="s">
        <v>166</v>
      </c>
    </row>
    <row r="23" spans="1:7" x14ac:dyDescent="0.25">
      <c r="B23" s="82"/>
      <c r="C23" s="82"/>
      <c r="D23" s="32"/>
      <c r="E23" s="32"/>
      <c r="F23" s="49"/>
      <c r="G23" s="29"/>
    </row>
    <row r="24" spans="1:7" x14ac:dyDescent="0.25">
      <c r="A24" s="22" t="s">
        <v>183</v>
      </c>
      <c r="B24" s="19"/>
      <c r="C24" s="19"/>
      <c r="D24" s="24"/>
      <c r="E24" s="101">
        <f>SUM(E25:E28)</f>
        <v>3150</v>
      </c>
      <c r="F24" s="104" t="s">
        <v>167</v>
      </c>
    </row>
    <row r="25" spans="1:7" x14ac:dyDescent="0.25">
      <c r="A25" s="103" t="str">
        <f>'Plan economique (PAS)'!B17</f>
        <v>Poisson (y compris la glace)</v>
      </c>
      <c r="B25" s="82">
        <f>'Plan economique (PAS)'!C17</f>
        <v>35</v>
      </c>
      <c r="C25" s="82" t="str">
        <f>'Plan economique (PAS)'!D17</f>
        <v>kg</v>
      </c>
      <c r="D25" s="32">
        <f>'Plan economique (PAS)'!E17</f>
        <v>50</v>
      </c>
      <c r="E25" s="32">
        <f>B25*D25</f>
        <v>1750</v>
      </c>
      <c r="F25" s="105" t="s">
        <v>167</v>
      </c>
    </row>
    <row r="26" spans="1:7" x14ac:dyDescent="0.25">
      <c r="A26" s="103" t="str">
        <f>'Plan economique (PAS)'!B18</f>
        <v>Légumes</v>
      </c>
      <c r="B26" s="82">
        <f>'Plan economique (PAS)'!C18</f>
        <v>40</v>
      </c>
      <c r="C26" s="82" t="str">
        <f>'Plan economique (PAS)'!D18</f>
        <v>kg</v>
      </c>
      <c r="D26" s="32">
        <f>'Plan economique (PAS)'!E18</f>
        <v>25</v>
      </c>
      <c r="E26" s="32">
        <f t="shared" ref="E26:E55" si="2">B26*D26</f>
        <v>1000</v>
      </c>
      <c r="F26" s="105" t="s">
        <v>167</v>
      </c>
    </row>
    <row r="27" spans="1:7" x14ac:dyDescent="0.25">
      <c r="A27" s="103" t="str">
        <f>'Plan economique (PAS)'!B19</f>
        <v>Transport poisson</v>
      </c>
      <c r="B27" s="82">
        <f>'Plan economique (PAS)'!C19</f>
        <v>1</v>
      </c>
      <c r="C27" s="82" t="str">
        <f>'Plan economique (PAS)'!D19</f>
        <v>transport</v>
      </c>
      <c r="D27" s="32">
        <f>'Plan economique (PAS)'!E19</f>
        <v>400</v>
      </c>
      <c r="E27" s="32">
        <f t="shared" si="2"/>
        <v>400</v>
      </c>
      <c r="F27" s="105" t="s">
        <v>167</v>
      </c>
    </row>
    <row r="28" spans="1:7" x14ac:dyDescent="0.25">
      <c r="B28" s="82"/>
      <c r="C28" s="82"/>
      <c r="D28" s="32"/>
      <c r="E28" s="32"/>
      <c r="F28" s="105"/>
    </row>
    <row r="29" spans="1:7" x14ac:dyDescent="0.25">
      <c r="A29" s="22" t="s">
        <v>201</v>
      </c>
      <c r="B29" s="19"/>
      <c r="C29" s="19"/>
      <c r="D29" s="24"/>
      <c r="E29" s="101">
        <f>SUM(E30:E42)</f>
        <v>48730</v>
      </c>
      <c r="F29" s="104" t="s">
        <v>167</v>
      </c>
    </row>
    <row r="30" spans="1:7" x14ac:dyDescent="0.25">
      <c r="A30" s="103" t="str">
        <f>'Plan economique (PAS)'!B20</f>
        <v>Denrées alimentaires - blé</v>
      </c>
      <c r="B30" s="82">
        <f>'Plan economique (PAS)'!C20</f>
        <v>10</v>
      </c>
      <c r="C30" s="82" t="str">
        <f>'Plan economique (PAS)'!D20</f>
        <v>sac 50 kg</v>
      </c>
      <c r="D30" s="32">
        <f>'Plan economique (PAS)'!E20</f>
        <v>670</v>
      </c>
      <c r="E30" s="32">
        <f t="shared" ref="E30:E44" si="3">B30*D30</f>
        <v>6700</v>
      </c>
      <c r="F30" s="105" t="s">
        <v>167</v>
      </c>
    </row>
    <row r="31" spans="1:7" x14ac:dyDescent="0.25">
      <c r="A31" s="103" t="str">
        <f>'Plan economique (PAS)'!B21</f>
        <v>Denrées alimentaires - sucre</v>
      </c>
      <c r="B31" s="82">
        <v>5</v>
      </c>
      <c r="C31" s="82" t="str">
        <f>'Plan economique (PAS)'!D21</f>
        <v>sac 50 kg</v>
      </c>
      <c r="D31" s="32">
        <f>'Plan economique (PAS)'!E21</f>
        <v>1170</v>
      </c>
      <c r="E31" s="32">
        <f t="shared" si="3"/>
        <v>5850</v>
      </c>
      <c r="F31" s="105" t="s">
        <v>168</v>
      </c>
    </row>
    <row r="32" spans="1:7" x14ac:dyDescent="0.25">
      <c r="A32" s="103" t="str">
        <f>'Plan economique (PAS)'!B22</f>
        <v>Denrées alimentaires - huile</v>
      </c>
      <c r="B32" s="82">
        <v>5</v>
      </c>
      <c r="C32" s="82" t="str">
        <f>'Plan economique (PAS)'!D22</f>
        <v>20 litres</v>
      </c>
      <c r="D32" s="32">
        <f>'Plan economique (PAS)'!E22</f>
        <v>1000</v>
      </c>
      <c r="E32" s="32">
        <f t="shared" si="3"/>
        <v>5000</v>
      </c>
      <c r="F32" s="105" t="s">
        <v>168</v>
      </c>
    </row>
    <row r="33" spans="1:6" x14ac:dyDescent="0.25">
      <c r="A33" s="103" t="str">
        <f>'Plan economique (PAS)'!B23</f>
        <v>Denrées alimentaires - pate</v>
      </c>
      <c r="B33" s="82">
        <f>'Plan economique (PAS)'!C23</f>
        <v>2</v>
      </c>
      <c r="C33" s="82" t="str">
        <f>'Plan economique (PAS)'!D23</f>
        <v>10 kg</v>
      </c>
      <c r="D33" s="32">
        <f>'Plan economique (PAS)'!E23</f>
        <v>270</v>
      </c>
      <c r="E33" s="32">
        <f t="shared" si="3"/>
        <v>540</v>
      </c>
      <c r="F33" s="105" t="s">
        <v>167</v>
      </c>
    </row>
    <row r="34" spans="1:6" x14ac:dyDescent="0.25">
      <c r="A34" s="103" t="str">
        <f>'Plan economique (PAS)'!B24</f>
        <v>Denrées alimentaires - riz</v>
      </c>
      <c r="B34" s="82">
        <f>'Plan economique (PAS)'!C24</f>
        <v>5</v>
      </c>
      <c r="C34" s="82" t="str">
        <f>'Plan economique (PAS)'!D24</f>
        <v>sac 50 kg</v>
      </c>
      <c r="D34" s="32">
        <f>'Plan economique (PAS)'!E24</f>
        <v>1400</v>
      </c>
      <c r="E34" s="32">
        <f t="shared" si="3"/>
        <v>7000</v>
      </c>
      <c r="F34" s="105" t="s">
        <v>167</v>
      </c>
    </row>
    <row r="35" spans="1:6" x14ac:dyDescent="0.25">
      <c r="A35" s="103" t="str">
        <f>'Plan economique (PAS)'!B25</f>
        <v>Denrées alimentaires - farine</v>
      </c>
      <c r="B35" s="82">
        <f>'Plan economique (PAS)'!C25</f>
        <v>6</v>
      </c>
      <c r="C35" s="82" t="str">
        <f>'Plan economique (PAS)'!D25</f>
        <v>sac 50 kg</v>
      </c>
      <c r="D35" s="32">
        <f>'Plan economique (PAS)'!E25</f>
        <v>900</v>
      </c>
      <c r="E35" s="32">
        <f t="shared" si="3"/>
        <v>5400</v>
      </c>
      <c r="F35" s="105" t="s">
        <v>167</v>
      </c>
    </row>
    <row r="36" spans="1:6" x14ac:dyDescent="0.25">
      <c r="A36" s="103" t="str">
        <f>'Plan economique (PAS)'!B26</f>
        <v>Denrées alimentaires - gloria</v>
      </c>
      <c r="B36" s="82">
        <f>'Plan economique (PAS)'!C26</f>
        <v>4</v>
      </c>
      <c r="C36" s="82" t="str">
        <f>'Plan economique (PAS)'!D26</f>
        <v>caisse 96 ud</v>
      </c>
      <c r="D36" s="32">
        <f>'Plan economique (PAS)'!E26</f>
        <v>1200</v>
      </c>
      <c r="E36" s="32">
        <f t="shared" si="3"/>
        <v>4800</v>
      </c>
      <c r="F36" s="105" t="s">
        <v>167</v>
      </c>
    </row>
    <row r="37" spans="1:6" x14ac:dyDescent="0.25">
      <c r="A37" s="103" t="str">
        <f>'Plan economique (PAS)'!B27</f>
        <v>Denrées alimentaires - lait en poudre</v>
      </c>
      <c r="B37" s="82">
        <f>'Plan economique (PAS)'!C27</f>
        <v>1</v>
      </c>
      <c r="C37" s="82" t="str">
        <f>'Plan economique (PAS)'!D27</f>
        <v>sac 25 kg</v>
      </c>
      <c r="D37" s="32">
        <f>'Plan economique (PAS)'!E27</f>
        <v>2400</v>
      </c>
      <c r="E37" s="32">
        <f t="shared" si="3"/>
        <v>2400</v>
      </c>
      <c r="F37" s="105" t="s">
        <v>167</v>
      </c>
    </row>
    <row r="38" spans="1:6" x14ac:dyDescent="0.25">
      <c r="A38" s="103" t="str">
        <f>'Plan economique (PAS)'!B28</f>
        <v>Denrées alimentaires - the</v>
      </c>
      <c r="B38" s="82">
        <f>'Plan economique (PAS)'!C28</f>
        <v>40</v>
      </c>
      <c r="C38" s="82" t="str">
        <f>'Plan economique (PAS)'!D28</f>
        <v>kg</v>
      </c>
      <c r="D38" s="32">
        <f>'Plan economique (PAS)'!E28</f>
        <v>230</v>
      </c>
      <c r="E38" s="32">
        <f t="shared" si="3"/>
        <v>9200</v>
      </c>
      <c r="F38" s="105" t="s">
        <v>167</v>
      </c>
    </row>
    <row r="39" spans="1:6" x14ac:dyDescent="0.25">
      <c r="A39" s="103" t="str">
        <f>'Plan economique (PAS)'!B29</f>
        <v>Produits hygiène - savon</v>
      </c>
      <c r="B39" s="82">
        <f>'Plan economique (PAS)'!C29</f>
        <v>6</v>
      </c>
      <c r="C39" s="82" t="str">
        <f>'Plan economique (PAS)'!D29</f>
        <v>carton 18 ud</v>
      </c>
      <c r="D39" s="32">
        <f>'Plan economique (PAS)'!E29</f>
        <v>200</v>
      </c>
      <c r="E39" s="32">
        <f t="shared" si="3"/>
        <v>1200</v>
      </c>
      <c r="F39" s="105" t="s">
        <v>167</v>
      </c>
    </row>
    <row r="40" spans="1:6" x14ac:dyDescent="0.25">
      <c r="A40" s="103" t="str">
        <f>'Plan economique (PAS)'!B30</f>
        <v>Produits hygiène - omo</v>
      </c>
      <c r="B40" s="82">
        <f>'Plan economique (PAS)'!C30</f>
        <v>2</v>
      </c>
      <c r="C40" s="82" t="str">
        <f>'Plan economique (PAS)'!D30</f>
        <v>carton 150 ud</v>
      </c>
      <c r="D40" s="32">
        <f>'Plan economique (PAS)'!E30</f>
        <v>320</v>
      </c>
      <c r="E40" s="32">
        <f t="shared" si="3"/>
        <v>640</v>
      </c>
      <c r="F40" s="105" t="s">
        <v>167</v>
      </c>
    </row>
    <row r="41" spans="1:6" x14ac:dyDescent="0.25">
      <c r="A41" s="103" t="str">
        <f>'Plan economique (PAS)'!B31</f>
        <v>Transporteur denrées alimentaires</v>
      </c>
      <c r="B41" s="82"/>
      <c r="C41" s="82" t="str">
        <f>'Plan economique (PAS)'!D31</f>
        <v>transport</v>
      </c>
      <c r="D41" s="32">
        <f>'Plan economique (PAS)'!E31</f>
        <v>0</v>
      </c>
      <c r="E41" s="32">
        <f t="shared" si="3"/>
        <v>0</v>
      </c>
      <c r="F41" s="105" t="s">
        <v>189</v>
      </c>
    </row>
    <row r="42" spans="1:6" x14ac:dyDescent="0.25">
      <c r="B42" s="82"/>
      <c r="C42" s="82"/>
      <c r="D42" s="32"/>
      <c r="E42" s="32"/>
      <c r="F42" s="105"/>
    </row>
    <row r="43" spans="1:6" x14ac:dyDescent="0.25">
      <c r="A43" s="22" t="s">
        <v>190</v>
      </c>
      <c r="B43" s="19"/>
      <c r="C43" s="19"/>
      <c r="D43" s="24"/>
      <c r="E43" s="101">
        <f>SUM(E44:E45)</f>
        <v>800</v>
      </c>
      <c r="F43" s="104" t="s">
        <v>167</v>
      </c>
    </row>
    <row r="44" spans="1:6" s="103" customFormat="1" ht="30" x14ac:dyDescent="0.25">
      <c r="A44" s="103" t="str">
        <f>'Plan economique (PAS)'!B32</f>
        <v>Couscous, matière premières (blé, farine, charbon)</v>
      </c>
      <c r="B44" s="112">
        <f>'Plan economique (PAS)'!C32</f>
        <v>20</v>
      </c>
      <c r="C44" s="112" t="str">
        <f>'Plan economique (PAS)'!D32</f>
        <v>kg</v>
      </c>
      <c r="D44" s="113">
        <f>'Plan economique (PAS)'!E32</f>
        <v>40</v>
      </c>
      <c r="E44" s="113">
        <f t="shared" si="3"/>
        <v>800</v>
      </c>
      <c r="F44" s="114" t="s">
        <v>167</v>
      </c>
    </row>
    <row r="45" spans="1:6" x14ac:dyDescent="0.25">
      <c r="B45" s="82"/>
      <c r="C45" s="82"/>
      <c r="D45" s="32"/>
      <c r="E45" s="32"/>
      <c r="F45" s="105"/>
    </row>
    <row r="46" spans="1:6" x14ac:dyDescent="0.25">
      <c r="A46" s="22" t="s">
        <v>200</v>
      </c>
      <c r="B46" s="19"/>
      <c r="C46" s="19"/>
      <c r="D46" s="24"/>
      <c r="E46" s="101">
        <f>SUM(E47:E53)</f>
        <v>19420</v>
      </c>
      <c r="F46" s="104" t="s">
        <v>184</v>
      </c>
    </row>
    <row r="47" spans="1:6" x14ac:dyDescent="0.25">
      <c r="A47" s="103" t="str">
        <f>'Plan economique (PAS)'!B36</f>
        <v>Recharge téléphone</v>
      </c>
      <c r="B47" s="82">
        <f>'Plan economique (PAS)'!C36</f>
        <v>1</v>
      </c>
      <c r="C47" s="82" t="str">
        <f>'Plan economique (PAS)'!D36</f>
        <v>forfait</v>
      </c>
      <c r="D47" s="32">
        <v>4000</v>
      </c>
      <c r="E47" s="32">
        <f t="shared" ref="E47" si="4">B47*D47</f>
        <v>4000</v>
      </c>
      <c r="F47" s="114" t="s">
        <v>167</v>
      </c>
    </row>
    <row r="48" spans="1:6" s="11" customFormat="1" x14ac:dyDescent="0.25">
      <c r="A48" s="103" t="str">
        <f>'Plan economique (PAS)'!B37</f>
        <v>Vêtements - Voiles</v>
      </c>
      <c r="B48" s="82">
        <f>'Plan economique (PAS)'!C37</f>
        <v>20</v>
      </c>
      <c r="C48" s="82" t="str">
        <f>'Plan economique (PAS)'!D37</f>
        <v>unités</v>
      </c>
      <c r="D48" s="32">
        <f>'Plan economique (PAS)'!E37</f>
        <v>180</v>
      </c>
      <c r="E48" s="32">
        <f t="shared" si="2"/>
        <v>3600</v>
      </c>
      <c r="F48" s="114" t="s">
        <v>167</v>
      </c>
    </row>
    <row r="49" spans="1:9" s="11" customFormat="1" x14ac:dyDescent="0.25">
      <c r="A49" s="103" t="str">
        <f>'Plan economique (PAS)'!B38</f>
        <v>Vêtements - Robes</v>
      </c>
      <c r="B49" s="82">
        <f>'Plan economique (PAS)'!C38</f>
        <v>20</v>
      </c>
      <c r="C49" s="82" t="str">
        <f>'Plan economique (PAS)'!D38</f>
        <v>unités</v>
      </c>
      <c r="D49" s="32">
        <f>'Plan economique (PAS)'!E38</f>
        <v>180</v>
      </c>
      <c r="E49" s="32">
        <f t="shared" si="2"/>
        <v>3600</v>
      </c>
      <c r="F49" s="114" t="s">
        <v>167</v>
      </c>
    </row>
    <row r="50" spans="1:9" s="11" customFormat="1" x14ac:dyDescent="0.25">
      <c r="A50" s="103" t="str">
        <f>'Plan economique (PAS)'!B39</f>
        <v>Vêtements - Chaussures</v>
      </c>
      <c r="B50" s="82">
        <f>'Plan economique (PAS)'!C39</f>
        <v>24</v>
      </c>
      <c r="C50" s="82" t="str">
        <f>'Plan economique (PAS)'!D39</f>
        <v>unités</v>
      </c>
      <c r="D50" s="32">
        <f>'Plan economique (PAS)'!E39</f>
        <v>30</v>
      </c>
      <c r="E50" s="32">
        <f>B50*D50</f>
        <v>720</v>
      </c>
      <c r="F50" s="114" t="s">
        <v>167</v>
      </c>
    </row>
    <row r="51" spans="1:9" s="11" customFormat="1" x14ac:dyDescent="0.25">
      <c r="A51" s="103" t="str">
        <f>'Plan economique (PAS)'!B40</f>
        <v>Vêtements - Vêtements enfant</v>
      </c>
      <c r="B51" s="82">
        <f>'Plan economique (PAS)'!C40</f>
        <v>24</v>
      </c>
      <c r="C51" s="82" t="str">
        <f>'Plan economique (PAS)'!D40</f>
        <v>unités</v>
      </c>
      <c r="D51" s="32">
        <f>'Plan economique (PAS)'!E40</f>
        <v>300</v>
      </c>
      <c r="E51" s="32">
        <f t="shared" si="2"/>
        <v>7200</v>
      </c>
      <c r="F51" s="114" t="s">
        <v>167</v>
      </c>
    </row>
    <row r="52" spans="1:9" s="11" customFormat="1" x14ac:dyDescent="0.25">
      <c r="A52" s="103" t="str">
        <f>'Plan economique (PAS)'!B41</f>
        <v>Transport Vêtements</v>
      </c>
      <c r="B52" s="82">
        <f>'Plan economique (PAS)'!C41</f>
        <v>1</v>
      </c>
      <c r="C52" s="82" t="str">
        <f>'Plan economique (PAS)'!D41</f>
        <v>transport</v>
      </c>
      <c r="D52" s="32">
        <f>'Plan economique (PAS)'!E41</f>
        <v>300</v>
      </c>
      <c r="E52" s="32">
        <f t="shared" si="2"/>
        <v>300</v>
      </c>
      <c r="F52" s="114" t="s">
        <v>167</v>
      </c>
    </row>
    <row r="53" spans="1:9" s="11" customFormat="1" x14ac:dyDescent="0.25">
      <c r="A53" s="103"/>
      <c r="B53" s="82"/>
      <c r="C53" s="82"/>
      <c r="D53" s="32"/>
      <c r="E53" s="32"/>
      <c r="F53" s="105"/>
    </row>
    <row r="54" spans="1:9" x14ac:dyDescent="0.25">
      <c r="A54" s="22" t="s">
        <v>185</v>
      </c>
      <c r="B54" s="19"/>
      <c r="C54" s="19"/>
      <c r="D54" s="24"/>
      <c r="E54" s="101">
        <f>E55</f>
        <v>350</v>
      </c>
      <c r="F54" s="104"/>
    </row>
    <row r="55" spans="1:9" s="11" customFormat="1" x14ac:dyDescent="0.25">
      <c r="A55" s="103" t="s">
        <v>186</v>
      </c>
      <c r="B55" s="82">
        <v>1</v>
      </c>
      <c r="C55" s="82" t="s">
        <v>124</v>
      </c>
      <c r="D55" s="32">
        <v>350</v>
      </c>
      <c r="E55" s="32">
        <f t="shared" si="2"/>
        <v>350</v>
      </c>
      <c r="F55" s="105"/>
    </row>
    <row r="56" spans="1:9" x14ac:dyDescent="0.25">
      <c r="B56" s="82"/>
      <c r="C56" s="82"/>
      <c r="D56" s="32"/>
      <c r="E56" s="32"/>
      <c r="F56" s="49"/>
    </row>
    <row r="57" spans="1:9" s="98" customFormat="1" ht="15.75" x14ac:dyDescent="0.25">
      <c r="A57" s="94" t="s">
        <v>187</v>
      </c>
      <c r="B57" s="95"/>
      <c r="C57" s="95"/>
      <c r="D57" s="95"/>
      <c r="E57" s="96">
        <f>E46+E24+E21+E54+E43+E29</f>
        <v>73550</v>
      </c>
      <c r="F57" s="97"/>
    </row>
    <row r="58" spans="1:9" x14ac:dyDescent="0.25">
      <c r="A58" s="106"/>
      <c r="B58" s="3"/>
      <c r="C58" s="3"/>
      <c r="D58" s="3"/>
      <c r="G58" s="45"/>
      <c r="I58" s="46"/>
    </row>
    <row r="59" spans="1:9" ht="18.75" x14ac:dyDescent="0.25">
      <c r="A59" s="84" t="s">
        <v>69</v>
      </c>
      <c r="B59" s="84"/>
      <c r="C59" s="84"/>
      <c r="D59" s="84"/>
      <c r="E59" s="84"/>
      <c r="F59" s="84" t="s">
        <v>179</v>
      </c>
      <c r="G59" s="2"/>
      <c r="I59" s="46"/>
    </row>
    <row r="60" spans="1:9" x14ac:dyDescent="0.25">
      <c r="A60" s="107" t="str">
        <f>A17</f>
        <v>Total Investissement AGR couvert</v>
      </c>
      <c r="B60" s="107"/>
      <c r="C60" s="107"/>
      <c r="D60" s="107"/>
      <c r="E60" s="107">
        <f>E17</f>
        <v>11450</v>
      </c>
      <c r="F60" s="108" t="s">
        <v>180</v>
      </c>
      <c r="G60" s="45"/>
    </row>
    <row r="61" spans="1:9" x14ac:dyDescent="0.25">
      <c r="A61" s="107" t="str">
        <f>A21</f>
        <v>Coûts fixes</v>
      </c>
      <c r="B61" s="107"/>
      <c r="C61" s="107"/>
      <c r="D61" s="107"/>
      <c r="E61" s="109">
        <f>E21</f>
        <v>1100</v>
      </c>
      <c r="F61" s="108" t="s">
        <v>166</v>
      </c>
    </row>
    <row r="62" spans="1:9" s="103" customFormat="1" x14ac:dyDescent="0.25">
      <c r="A62" s="107" t="str">
        <f>A24</f>
        <v>Coûts variables. Vente de poisson et légumes, cycle hebdomadaire</v>
      </c>
      <c r="B62" s="107"/>
      <c r="C62" s="107"/>
      <c r="D62" s="107"/>
      <c r="E62" s="109">
        <f>E24</f>
        <v>3150</v>
      </c>
      <c r="F62" s="108" t="s">
        <v>167</v>
      </c>
    </row>
    <row r="63" spans="1:9" s="103" customFormat="1" x14ac:dyDescent="0.25">
      <c r="A63" s="107" t="str">
        <f>A29</f>
        <v>Coûts variables. Vente de denrées alimentaires et de produits d’hygiène, cycle hebdomadaire</v>
      </c>
      <c r="B63" s="107"/>
      <c r="C63" s="107"/>
      <c r="D63" s="107"/>
      <c r="E63" s="109">
        <f>E29</f>
        <v>48730</v>
      </c>
      <c r="F63" s="108" t="s">
        <v>167</v>
      </c>
    </row>
    <row r="64" spans="1:9" s="103" customFormat="1" x14ac:dyDescent="0.25">
      <c r="A64" s="107" t="str">
        <f>A43</f>
        <v>Coûts variables. Elaboration de coucous, cycle hebdomadaire</v>
      </c>
      <c r="B64" s="107"/>
      <c r="C64" s="107"/>
      <c r="D64" s="107"/>
      <c r="E64" s="109">
        <f>E43</f>
        <v>800</v>
      </c>
      <c r="F64" s="108" t="s">
        <v>167</v>
      </c>
    </row>
    <row r="65" spans="1:6" s="103" customFormat="1" x14ac:dyDescent="0.25">
      <c r="A65" s="107" t="str">
        <f>A46</f>
        <v>Coûts variables. Vente d'habilles et autres produits, cycle mensuel</v>
      </c>
      <c r="B65" s="107"/>
      <c r="C65" s="107"/>
      <c r="D65" s="107"/>
      <c r="E65" s="109">
        <f>E46</f>
        <v>19420</v>
      </c>
      <c r="F65" s="108" t="s">
        <v>168</v>
      </c>
    </row>
    <row r="66" spans="1:6" s="103" customFormat="1" x14ac:dyDescent="0.25">
      <c r="A66" s="107" t="str">
        <f>A54</f>
        <v>Autres</v>
      </c>
      <c r="B66" s="107"/>
      <c r="C66" s="107"/>
      <c r="D66" s="107"/>
      <c r="E66" s="109">
        <f t="shared" ref="E66" si="5">E54</f>
        <v>350</v>
      </c>
      <c r="F66" s="108" t="s">
        <v>167</v>
      </c>
    </row>
    <row r="67" spans="1:6" s="103" customFormat="1" x14ac:dyDescent="0.25">
      <c r="A67" s="107"/>
      <c r="B67" s="107"/>
      <c r="C67" s="107"/>
      <c r="D67" s="107"/>
      <c r="E67" s="109"/>
      <c r="F67" s="110"/>
    </row>
    <row r="68" spans="1:6" s="98" customFormat="1" ht="15.75" x14ac:dyDescent="0.25">
      <c r="A68" s="94" t="s">
        <v>188</v>
      </c>
      <c r="B68" s="95"/>
      <c r="C68" s="95"/>
      <c r="D68" s="95"/>
      <c r="E68" s="96">
        <f>SUM(E60:E67)</f>
        <v>85000</v>
      </c>
      <c r="F68" s="97"/>
    </row>
    <row r="69" spans="1:6" x14ac:dyDescent="0.25">
      <c r="E69" s="44"/>
      <c r="F69" s="111"/>
    </row>
    <row r="71" spans="1:6" x14ac:dyDescent="0.25">
      <c r="A71" s="46"/>
      <c r="B71" s="46"/>
    </row>
    <row r="73" spans="1:6" x14ac:dyDescent="0.25">
      <c r="A73" s="46"/>
    </row>
    <row r="82" spans="1:1" x14ac:dyDescent="0.25">
      <c r="A82" s="93"/>
    </row>
    <row r="83" spans="1:1" x14ac:dyDescent="0.25">
      <c r="A83" s="93"/>
    </row>
    <row r="84" spans="1:1" x14ac:dyDescent="0.25">
      <c r="A84" s="93"/>
    </row>
    <row r="85" spans="1:1" x14ac:dyDescent="0.25">
      <c r="A85" s="93"/>
    </row>
    <row r="86" spans="1:1" x14ac:dyDescent="0.25">
      <c r="A86" s="93"/>
    </row>
    <row r="87" spans="1:1" x14ac:dyDescent="0.25">
      <c r="A87" s="93"/>
    </row>
  </sheetData>
  <mergeCells count="2">
    <mergeCell ref="B7:F7"/>
    <mergeCell ref="B8:F8"/>
  </mergeCells>
  <pageMargins left="0.70866141732283472" right="0.70866141732283472" top="0.74803149606299213" bottom="0.74803149606299213" header="0.31496062992125984" footer="0.31496062992125984"/>
  <pageSetup paperSize="9" scale="61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Info general</vt:lpstr>
      <vt:lpstr>Plan economique (PAS)</vt:lpstr>
      <vt:lpstr>Plan economique (PAS) v2</vt:lpstr>
      <vt:lpstr>Apport CRM</vt:lpstr>
      <vt:lpstr>'Apport CRM'!Área_de_impresión</vt:lpstr>
      <vt:lpstr>'Info general'!Área_de_impresión</vt:lpstr>
      <vt:lpstr>'Plan economique (PAS)'!Área_de_impresión</vt:lpstr>
      <vt:lpstr>'Plan economique (PAS) v2'!Área_de_impresión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Pilar</dc:creator>
  <cp:lastModifiedBy>Gema Arranz</cp:lastModifiedBy>
  <cp:lastPrinted>2021-01-26T18:06:18Z</cp:lastPrinted>
  <dcterms:created xsi:type="dcterms:W3CDTF">2020-07-27T11:11:56Z</dcterms:created>
  <dcterms:modified xsi:type="dcterms:W3CDTF">2021-07-05T16:10:09Z</dcterms:modified>
</cp:coreProperties>
</file>