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C:\_LRC\2. technical assistance\British RC SAHEL program\2. MAURITANIE clubs des meres\4. plan affaires\"/>
    </mc:Choice>
  </mc:AlternateContent>
  <xr:revisionPtr revIDLastSave="0" documentId="13_ncr:1_{6021E3EB-A7E0-4F35-9D94-EA67B217CAC1}" xr6:coauthVersionLast="36" xr6:coauthVersionMax="36" xr10:uidLastSave="{00000000-0000-0000-0000-000000000000}"/>
  <bookViews>
    <workbookView xWindow="0" yWindow="465" windowWidth="28800" windowHeight="17460" xr2:uid="{00000000-000D-0000-FFFF-FFFF00000000}"/>
  </bookViews>
  <sheets>
    <sheet name="Info general" sheetId="17" r:id="rId1"/>
    <sheet name="Plan economique (PAS)" sheetId="18" r:id="rId2"/>
    <sheet name="Plan economique (PAS) v2" sheetId="22" r:id="rId3"/>
    <sheet name="Apport CRM" sheetId="20" r:id="rId4"/>
  </sheets>
  <definedNames>
    <definedName name="_xlnm.Print_Area" localSheetId="3">'Apport CRM'!$A$1:$F$46</definedName>
    <definedName name="_xlnm.Print_Area" localSheetId="0">'Info general'!$A$1:$H$23</definedName>
    <definedName name="_xlnm.Print_Area" localSheetId="1">'Plan economique (PAS)'!$A$1:$M$46</definedName>
    <definedName name="_xlnm.Print_Area" localSheetId="2">'Plan economique (PAS) v2'!$A$1:$M$48</definedName>
  </definedNames>
  <calcPr calcId="191029" concurrentCalc="0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3" i="22" l="1"/>
  <c r="H13" i="22"/>
  <c r="M8" i="22"/>
  <c r="K13" i="22"/>
  <c r="C14" i="22"/>
  <c r="G14" i="22"/>
  <c r="H14" i="22"/>
  <c r="K14" i="22"/>
  <c r="C17" i="22"/>
  <c r="G17" i="22"/>
  <c r="H17" i="22"/>
  <c r="K17" i="22"/>
  <c r="C18" i="22"/>
  <c r="G18" i="22"/>
  <c r="H18" i="22"/>
  <c r="K18" i="22"/>
  <c r="G19" i="22"/>
  <c r="H19" i="22"/>
  <c r="K19" i="22"/>
  <c r="C32" i="22"/>
  <c r="C33" i="22"/>
  <c r="E20" i="22"/>
  <c r="G20" i="22"/>
  <c r="H20" i="22"/>
  <c r="K20" i="22"/>
  <c r="G21" i="22"/>
  <c r="H21" i="22"/>
  <c r="K21" i="22"/>
  <c r="C22" i="22"/>
  <c r="G22" i="22"/>
  <c r="H22" i="22"/>
  <c r="K22" i="22"/>
  <c r="C34" i="22"/>
  <c r="E23" i="22"/>
  <c r="G23" i="22"/>
  <c r="H23" i="22"/>
  <c r="K23" i="22"/>
  <c r="K26" i="22"/>
  <c r="K28" i="22"/>
  <c r="K54" i="22"/>
  <c r="K55" i="22"/>
  <c r="M53" i="22"/>
  <c r="L53" i="22"/>
  <c r="L52" i="22"/>
  <c r="K52" i="22"/>
  <c r="H54" i="22"/>
  <c r="G32" i="22"/>
  <c r="H32" i="22"/>
  <c r="K32" i="22"/>
  <c r="L32" i="22"/>
  <c r="M32" i="22"/>
  <c r="G33" i="22"/>
  <c r="H33" i="22"/>
  <c r="K33" i="22"/>
  <c r="L33" i="22"/>
  <c r="M33" i="22"/>
  <c r="G34" i="22"/>
  <c r="H34" i="22"/>
  <c r="K34" i="22"/>
  <c r="L34" i="22"/>
  <c r="M34" i="22"/>
  <c r="E37" i="22"/>
  <c r="G37" i="22"/>
  <c r="L37" i="22"/>
  <c r="M37" i="22"/>
  <c r="G38" i="22"/>
  <c r="L38" i="22"/>
  <c r="M38" i="22"/>
  <c r="G39" i="22"/>
  <c r="M39" i="22"/>
  <c r="M41" i="22"/>
  <c r="M56" i="22"/>
  <c r="L14" i="22"/>
  <c r="M14" i="22"/>
  <c r="M54" i="22"/>
  <c r="L13" i="22"/>
  <c r="M13" i="22"/>
  <c r="L17" i="22"/>
  <c r="M17" i="22"/>
  <c r="L18" i="22"/>
  <c r="M18" i="22"/>
  <c r="L19" i="22"/>
  <c r="M19" i="22"/>
  <c r="L20" i="22"/>
  <c r="M20" i="22"/>
  <c r="L21" i="22"/>
  <c r="M21" i="22"/>
  <c r="L22" i="22"/>
  <c r="M22" i="22"/>
  <c r="L23" i="22"/>
  <c r="M23" i="22"/>
  <c r="L26" i="22"/>
  <c r="M26" i="22"/>
  <c r="M28" i="22"/>
  <c r="M55" i="22"/>
  <c r="M57" i="22"/>
  <c r="L41" i="22"/>
  <c r="L56" i="22"/>
  <c r="L54" i="22"/>
  <c r="L28" i="22"/>
  <c r="L55" i="22"/>
  <c r="L57" i="22"/>
  <c r="K37" i="22"/>
  <c r="K38" i="22"/>
  <c r="K39" i="22"/>
  <c r="K41" i="22"/>
  <c r="K56" i="22"/>
  <c r="K57" i="22"/>
  <c r="H41" i="22"/>
  <c r="H56" i="22"/>
  <c r="H28" i="22"/>
  <c r="H55" i="22"/>
  <c r="H57" i="22"/>
  <c r="C15" i="18"/>
  <c r="C30" i="18"/>
  <c r="G30" i="18"/>
  <c r="H30" i="18"/>
  <c r="M6" i="18"/>
  <c r="K30" i="18"/>
  <c r="L30" i="18"/>
  <c r="M30" i="18"/>
  <c r="C16" i="18"/>
  <c r="C31" i="18"/>
  <c r="G31" i="18"/>
  <c r="H31" i="18"/>
  <c r="K31" i="18"/>
  <c r="L31" i="18"/>
  <c r="M31" i="18"/>
  <c r="C32" i="18"/>
  <c r="G32" i="18"/>
  <c r="H32" i="18"/>
  <c r="K32" i="18"/>
  <c r="L32" i="18"/>
  <c r="M32" i="18"/>
  <c r="G15" i="18"/>
  <c r="H15" i="18"/>
  <c r="G16" i="18"/>
  <c r="H16" i="18"/>
  <c r="G17" i="18"/>
  <c r="H17" i="18"/>
  <c r="E18" i="18"/>
  <c r="G18" i="18"/>
  <c r="H18" i="18"/>
  <c r="G19" i="18"/>
  <c r="H19" i="18"/>
  <c r="C20" i="18"/>
  <c r="G20" i="18"/>
  <c r="H20" i="18"/>
  <c r="E21" i="18"/>
  <c r="G21" i="18"/>
  <c r="H21" i="18"/>
  <c r="E35" i="18"/>
  <c r="G35" i="18"/>
  <c r="L35" i="18"/>
  <c r="M35" i="18"/>
  <c r="G36" i="18"/>
  <c r="L36" i="18"/>
  <c r="M36" i="18"/>
  <c r="G37" i="18"/>
  <c r="M37" i="18"/>
  <c r="M39" i="18"/>
  <c r="M54" i="18"/>
  <c r="G11" i="18"/>
  <c r="H11" i="18"/>
  <c r="K11" i="18"/>
  <c r="L11" i="18"/>
  <c r="M11" i="18"/>
  <c r="C12" i="18"/>
  <c r="G12" i="18"/>
  <c r="H12" i="18"/>
  <c r="K12" i="18"/>
  <c r="L12" i="18"/>
  <c r="M12" i="18"/>
  <c r="K15" i="18"/>
  <c r="L15" i="18"/>
  <c r="M15" i="18"/>
  <c r="K16" i="18"/>
  <c r="L16" i="18"/>
  <c r="M16" i="18"/>
  <c r="K17" i="18"/>
  <c r="L17" i="18"/>
  <c r="M17" i="18"/>
  <c r="K18" i="18"/>
  <c r="L18" i="18"/>
  <c r="M18" i="18"/>
  <c r="K19" i="18"/>
  <c r="L19" i="18"/>
  <c r="M19" i="18"/>
  <c r="K20" i="18"/>
  <c r="L20" i="18"/>
  <c r="M20" i="18"/>
  <c r="K21" i="18"/>
  <c r="L21" i="18"/>
  <c r="M21" i="18"/>
  <c r="L24" i="18"/>
  <c r="M24" i="18"/>
  <c r="M26" i="18"/>
  <c r="M52" i="18"/>
  <c r="M53" i="18"/>
  <c r="M51" i="18"/>
  <c r="M55" i="18"/>
  <c r="L39" i="18"/>
  <c r="L54" i="18"/>
  <c r="L26" i="18"/>
  <c r="L52" i="18"/>
  <c r="L53" i="18"/>
  <c r="L51" i="18"/>
  <c r="L50" i="18"/>
  <c r="L55" i="18"/>
  <c r="K35" i="18"/>
  <c r="K36" i="18"/>
  <c r="K37" i="18"/>
  <c r="K39" i="18"/>
  <c r="K54" i="18"/>
  <c r="K24" i="18"/>
  <c r="K26" i="18"/>
  <c r="K52" i="18"/>
  <c r="K53" i="18"/>
  <c r="K55" i="18"/>
  <c r="H39" i="18"/>
  <c r="H54" i="18"/>
  <c r="H26" i="18"/>
  <c r="H52" i="18"/>
  <c r="H53" i="18"/>
  <c r="H55" i="18"/>
  <c r="K50" i="18"/>
  <c r="M47" i="22"/>
  <c r="L47" i="22"/>
  <c r="D33" i="22"/>
  <c r="D32" i="22"/>
  <c r="G26" i="22"/>
  <c r="G41" i="22"/>
  <c r="H44" i="22"/>
  <c r="G28" i="22"/>
  <c r="K44" i="22"/>
  <c r="H45" i="22"/>
  <c r="H46" i="22"/>
  <c r="H48" i="22"/>
  <c r="K45" i="22"/>
  <c r="K46" i="22"/>
  <c r="K48" i="22"/>
  <c r="L44" i="22"/>
  <c r="M44" i="22"/>
  <c r="L45" i="22"/>
  <c r="L46" i="22"/>
  <c r="L48" i="22"/>
  <c r="M45" i="22"/>
  <c r="M46" i="22"/>
  <c r="M48" i="22"/>
  <c r="M45" i="18"/>
  <c r="L45" i="18"/>
  <c r="F29" i="17"/>
  <c r="H29" i="17"/>
  <c r="F28" i="17"/>
  <c r="H28" i="17"/>
  <c r="F27" i="17"/>
  <c r="F31" i="17"/>
  <c r="G24" i="18"/>
  <c r="D30" i="18"/>
  <c r="D31" i="18"/>
  <c r="H27" i="17"/>
  <c r="H31" i="17"/>
  <c r="G39" i="18"/>
  <c r="H42" i="18"/>
  <c r="G26" i="18"/>
  <c r="H43" i="18"/>
  <c r="K42" i="18"/>
  <c r="H44" i="18"/>
  <c r="H46" i="18"/>
  <c r="K43" i="18"/>
  <c r="M42" i="18"/>
  <c r="L42" i="18"/>
  <c r="K44" i="18"/>
  <c r="K46" i="18"/>
  <c r="M43" i="18"/>
  <c r="L43" i="18"/>
  <c r="L44" i="18"/>
  <c r="L46" i="18"/>
  <c r="D17" i="20"/>
  <c r="B17" i="20"/>
  <c r="E17" i="20"/>
  <c r="A17" i="20"/>
  <c r="B28" i="20"/>
  <c r="B27" i="20"/>
  <c r="A28" i="20"/>
  <c r="C28" i="20"/>
  <c r="D28" i="20"/>
  <c r="A29" i="20"/>
  <c r="C29" i="20"/>
  <c r="D29" i="20"/>
  <c r="A30" i="20"/>
  <c r="C30" i="20"/>
  <c r="D30" i="20"/>
  <c r="A31" i="20"/>
  <c r="C31" i="20"/>
  <c r="D31" i="20"/>
  <c r="C27" i="20"/>
  <c r="D27" i="20"/>
  <c r="A27" i="20"/>
  <c r="B24" i="20"/>
  <c r="E24" i="20"/>
  <c r="E23" i="20"/>
  <c r="A24" i="20"/>
  <c r="A14" i="20"/>
  <c r="B14" i="20"/>
  <c r="D14" i="20"/>
  <c r="A15" i="20"/>
  <c r="B15" i="20"/>
  <c r="A16" i="20"/>
  <c r="B16" i="20"/>
  <c r="D16" i="20"/>
  <c r="B13" i="20"/>
  <c r="D13" i="20"/>
  <c r="A13" i="20"/>
  <c r="B8" i="20"/>
  <c r="B7" i="20"/>
  <c r="A42" i="20"/>
  <c r="A41" i="20"/>
  <c r="A40" i="20"/>
  <c r="A39" i="20"/>
  <c r="M44" i="18"/>
  <c r="M46" i="18"/>
  <c r="E31" i="20"/>
  <c r="E13" i="20"/>
  <c r="E30" i="20"/>
  <c r="E29" i="20"/>
  <c r="E34" i="20"/>
  <c r="E33" i="20"/>
  <c r="E42" i="20"/>
  <c r="E28" i="20"/>
  <c r="E16" i="20"/>
  <c r="E40" i="20"/>
  <c r="E14" i="20"/>
  <c r="E27" i="20"/>
  <c r="E19" i="20"/>
  <c r="E39" i="20"/>
  <c r="E26" i="20"/>
  <c r="E19" i="17"/>
  <c r="D15" i="20"/>
  <c r="E15" i="20"/>
  <c r="F18" i="17"/>
  <c r="F17" i="17"/>
  <c r="F19" i="17"/>
  <c r="F20" i="17"/>
  <c r="F21" i="17"/>
  <c r="H18" i="17"/>
  <c r="H19" i="17"/>
  <c r="H17" i="17"/>
  <c r="F23" i="17"/>
  <c r="E41" i="20"/>
  <c r="E44" i="20"/>
  <c r="E36" i="20"/>
  <c r="H20" i="17"/>
  <c r="H23" i="17"/>
</calcChain>
</file>

<file path=xl/sharedStrings.xml><?xml version="1.0" encoding="utf-8"?>
<sst xmlns="http://schemas.openxmlformats.org/spreadsheetml/2006/main" count="487" uniqueCount="165">
  <si>
    <t>TOTAL</t>
  </si>
  <si>
    <t>Total</t>
  </si>
  <si>
    <t>Type d'investissement</t>
  </si>
  <si>
    <t>Unité</t>
  </si>
  <si>
    <t>INVESTISSEMENT INITIAL AGR</t>
  </si>
  <si>
    <t>Coûts fixes</t>
  </si>
  <si>
    <t>Coûts variables</t>
  </si>
  <si>
    <t>B</t>
  </si>
  <si>
    <t>A-Nº</t>
  </si>
  <si>
    <t>A</t>
  </si>
  <si>
    <t>B-Nº</t>
  </si>
  <si>
    <t>C-Nº</t>
  </si>
  <si>
    <t>C</t>
  </si>
  <si>
    <t>A.1</t>
  </si>
  <si>
    <t>A.2</t>
  </si>
  <si>
    <t>A.3</t>
  </si>
  <si>
    <t>A.4</t>
  </si>
  <si>
    <t>A.5</t>
  </si>
  <si>
    <t>B.1</t>
  </si>
  <si>
    <t>B.2</t>
  </si>
  <si>
    <t>B.3</t>
  </si>
  <si>
    <t>B.4</t>
  </si>
  <si>
    <t>B.5</t>
  </si>
  <si>
    <t>C.1</t>
  </si>
  <si>
    <t>C.2</t>
  </si>
  <si>
    <t>C.3</t>
  </si>
  <si>
    <t>COÛTS DE L'ACTIVITÉ</t>
  </si>
  <si>
    <t>Amortissement</t>
  </si>
  <si>
    <t>Type de dépenses</t>
  </si>
  <si>
    <t>Localité :</t>
  </si>
  <si>
    <t>PLAN D'AFFAIRES SIMPLIFIE</t>
  </si>
  <si>
    <t xml:space="preserve">Contributions projet: </t>
  </si>
  <si>
    <r>
      <t xml:space="preserve">Cycle de l'AGR </t>
    </r>
    <r>
      <rPr>
        <i/>
        <sz val="12"/>
        <color theme="1"/>
        <rFont val="Calibri"/>
        <family val="2"/>
        <scheme val="minor"/>
      </rPr>
      <t>(hebdomadaire, mensuel, annuel, etc.):</t>
    </r>
  </si>
  <si>
    <t>Coût unitaire</t>
  </si>
  <si>
    <t>DEPENSES PAR CYCLE</t>
  </si>
  <si>
    <t>RECETTES PAR CYCLE</t>
  </si>
  <si>
    <t>Produit / service</t>
  </si>
  <si>
    <t>Transport</t>
  </si>
  <si>
    <t>Prix unitaire</t>
  </si>
  <si>
    <t>Plan Economique</t>
  </si>
  <si>
    <t>Cycle vie (ans)</t>
  </si>
  <si>
    <r>
      <t xml:space="preserve">Nom, Prénom </t>
    </r>
    <r>
      <rPr>
        <sz val="12"/>
        <color theme="1"/>
        <rFont val="Calibri"/>
        <family val="2"/>
        <scheme val="minor"/>
      </rPr>
      <t>(bénéficiaire, personne de contact)</t>
    </r>
    <r>
      <rPr>
        <b/>
        <sz val="12"/>
        <color theme="1"/>
        <rFont val="Calibri"/>
        <family val="2"/>
        <scheme val="minor"/>
      </rPr>
      <t>:</t>
    </r>
  </si>
  <si>
    <t>Numéro téléphone :</t>
  </si>
  <si>
    <t xml:space="preserve">Contributions bénéficiaire: </t>
  </si>
  <si>
    <t>Quantité</t>
  </si>
  <si>
    <t>BÉNÉFICES PAR CYCLE</t>
  </si>
  <si>
    <t>RECETTES DE L'ACTIVITÉ</t>
  </si>
  <si>
    <t>amortis./an</t>
  </si>
  <si>
    <t>Information général et Investissement initial</t>
  </si>
  <si>
    <t>Plan Economique Simplifié</t>
  </si>
  <si>
    <t>Prévision de recettes et dépenses par 3 ans</t>
  </si>
  <si>
    <t>Année 2</t>
  </si>
  <si>
    <t>Année 1</t>
  </si>
  <si>
    <t>Année 3</t>
  </si>
  <si>
    <t>Conversion (cycle--&gt; an)</t>
  </si>
  <si>
    <t>hebdomadaire</t>
  </si>
  <si>
    <t>annuel</t>
  </si>
  <si>
    <t>semestre (6mois)</t>
  </si>
  <si>
    <t>trimestrielle (3mois)</t>
  </si>
  <si>
    <t>Type de Cycle</t>
  </si>
  <si>
    <t>mensuel</t>
  </si>
  <si>
    <t>quincénaire</t>
  </si>
  <si>
    <t>(C-B) BÉNÉFICE</t>
  </si>
  <si>
    <t>(C-B-A) BÉNÉFICE</t>
  </si>
  <si>
    <t>bimensuel (2mois)</t>
  </si>
  <si>
    <t>Club de mères - Barkeol Lakhda</t>
  </si>
  <si>
    <t>Barkeol Lakhda</t>
  </si>
  <si>
    <t>Poisson</t>
  </si>
  <si>
    <t>Légumes</t>
  </si>
  <si>
    <t>RÉSUMÉ SUPPORT AGR</t>
  </si>
  <si>
    <t>B.6</t>
  </si>
  <si>
    <t>B.7</t>
  </si>
  <si>
    <t>Remarques</t>
  </si>
  <si>
    <t>Entretien</t>
  </si>
  <si>
    <t>Mois</t>
  </si>
  <si>
    <t>Total (Mois)</t>
  </si>
  <si>
    <t>Total (cycle)</t>
  </si>
  <si>
    <t>MRU</t>
  </si>
  <si>
    <t>kg</t>
  </si>
  <si>
    <t>transport</t>
  </si>
  <si>
    <t>Congelateur solaire 208 litres, avec panneaux, installation et transport</t>
  </si>
  <si>
    <t>Achat à Kiffa</t>
  </si>
  <si>
    <t>Forfait demarrage (transport materiels, visites fournisseurs, etc.)</t>
  </si>
  <si>
    <t>B.8</t>
  </si>
  <si>
    <t>semaine</t>
  </si>
  <si>
    <t>mois</t>
  </si>
  <si>
    <t xml:space="preserve">Apport CRM </t>
  </si>
  <si>
    <r>
      <t>Type/nom de l'activité génératrice de revenus:</t>
    </r>
    <r>
      <rPr>
        <sz val="11"/>
        <color theme="1"/>
        <rFont val="Calibri"/>
        <family val="2"/>
        <scheme val="minor"/>
      </rPr>
      <t xml:space="preserve"> </t>
    </r>
  </si>
  <si>
    <t>Chèvre (entre 17 et 20 kg)</t>
  </si>
  <si>
    <t>tête</t>
  </si>
  <si>
    <t>Egorge chèvre</t>
  </si>
  <si>
    <t>service</t>
  </si>
  <si>
    <t>Chèvre</t>
  </si>
  <si>
    <t>Moyenne d'entre 17-20 kg/tête</t>
  </si>
  <si>
    <t>Nattes, etc.</t>
  </si>
  <si>
    <t>Thermo pour le transport 48 Kg.</t>
  </si>
  <si>
    <t>Paquet: 40 MRU pour 100 pièces</t>
  </si>
  <si>
    <t>A Nouakchott - Prix CdM Ghabra</t>
  </si>
  <si>
    <t>Nouakchott - Poisson plus légumes</t>
  </si>
  <si>
    <t>Emballage poisson</t>
  </si>
  <si>
    <t>Poisson y compris la glace</t>
  </si>
  <si>
    <t>1 mois</t>
  </si>
  <si>
    <t>Emballage viande</t>
  </si>
  <si>
    <t>A Nouakchott - Prix entre 20 et 25</t>
  </si>
  <si>
    <t>Prix de Ghabra; elles ne connaisent pas le prix.</t>
  </si>
  <si>
    <t>forfait</t>
  </si>
  <si>
    <t>1 cycle</t>
  </si>
  <si>
    <t>unités</t>
  </si>
  <si>
    <t>Balance, equipement (couteaux, table, etc.)</t>
  </si>
  <si>
    <t>Investissement AGR</t>
  </si>
  <si>
    <t>Coût ud (MRU)</t>
  </si>
  <si>
    <t>Total (MRU)</t>
  </si>
  <si>
    <t>Couverture CRM</t>
  </si>
  <si>
    <t>Apport du CRM (AGR Clubs des Mères)</t>
  </si>
  <si>
    <t>PLAN ECONOMIQUE du PLAN d'AFFAIRES SIMPLIFIE</t>
  </si>
  <si>
    <r>
      <t xml:space="preserve">Nom, Prénom </t>
    </r>
    <r>
      <rPr>
        <sz val="11"/>
        <color theme="1"/>
        <rFont val="Calibri"/>
        <family val="2"/>
        <scheme val="minor"/>
      </rPr>
      <t>(bénéficiaire)</t>
    </r>
    <r>
      <rPr>
        <b/>
        <sz val="11"/>
        <color theme="1"/>
        <rFont val="Calibri"/>
        <family val="2"/>
        <scheme val="minor"/>
      </rPr>
      <t>:</t>
    </r>
  </si>
  <si>
    <t>totale</t>
  </si>
  <si>
    <t>Total Investissement AGR couvert</t>
  </si>
  <si>
    <t>Dépenses par cycle (Fonds de roulement)</t>
  </si>
  <si>
    <t>Autres</t>
  </si>
  <si>
    <t>Emballages et autres dépenses mineures</t>
  </si>
  <si>
    <t>Total dépenses (fond roulement) couvertes</t>
  </si>
  <si>
    <t>Total Contribution CRM (MRU)</t>
  </si>
  <si>
    <t>Location boutique</t>
  </si>
  <si>
    <t>Loyer</t>
  </si>
  <si>
    <t>N/A</t>
  </si>
  <si>
    <t>Coûts variables. Vente de poisson, légumes et boucherie, cycle hebdomadaire</t>
  </si>
  <si>
    <t>5 têtes / semaine. Achat à Barkeol Lakhdar</t>
  </si>
  <si>
    <t>1 des 3 achats hebdomadaire</t>
  </si>
  <si>
    <t>3 têtes</t>
  </si>
  <si>
    <t>boutique</t>
  </si>
  <si>
    <t>Boutique de vente de poisson et de légumes, avec congélateur solaire. L’activité se complémente avec la viande (petite boucherie).</t>
  </si>
  <si>
    <t>Utilisent la siège du CdM</t>
  </si>
  <si>
    <t>Estimation d'entretiens chaque 6 mois</t>
  </si>
  <si>
    <t>Option de vente modérée. Cette deuxième analyse du Plan Economique montre les résultats avec un écoulement un peu plus réduit à ce qui avait été proposé par le Clubs des Mères.</t>
  </si>
  <si>
    <t>Amenagement boutique (nattes, etc.)</t>
  </si>
  <si>
    <t>Equipment (balance, couteaux, table...)</t>
  </si>
  <si>
    <t>loyer</t>
  </si>
  <si>
    <t>Scenario évolution AGR (années 2 et 3)</t>
  </si>
  <si>
    <t>B.9</t>
  </si>
  <si>
    <t>location de boutique pour les années 2 et 3</t>
  </si>
  <si>
    <t>C.4</t>
  </si>
  <si>
    <t>Benefice. Augmentation produits de base</t>
  </si>
  <si>
    <t>Estimation augmentation 15% (sur le bénéfice)</t>
  </si>
  <si>
    <t>C.5</t>
  </si>
  <si>
    <t>Benefice . Diversification produits année 2</t>
  </si>
  <si>
    <t>C.6</t>
  </si>
  <si>
    <t>Benefice . Diversification produits année 3</t>
  </si>
  <si>
    <t>Premier année</t>
  </si>
  <si>
    <t>Année 2 et 3</t>
  </si>
  <si>
    <t>unité</t>
  </si>
  <si>
    <t>Amenagement boutique (estimation)</t>
  </si>
  <si>
    <t>Equipment (estimation)</t>
  </si>
  <si>
    <t>TOTAL ANNÉES 2 ET 3</t>
  </si>
  <si>
    <t>Estimation augmentation 50%</t>
  </si>
  <si>
    <r>
      <t xml:space="preserve">Plan économique pour le </t>
    </r>
    <r>
      <rPr>
        <b/>
        <sz val="11"/>
        <color theme="1"/>
        <rFont val="Calibri"/>
        <family val="2"/>
        <scheme val="minor"/>
      </rPr>
      <t>premier année selon la définition élaborée avec le groupement</t>
    </r>
    <r>
      <rPr>
        <sz val="11"/>
        <color theme="1"/>
        <rFont val="Calibri"/>
        <family val="2"/>
        <scheme val="minor"/>
      </rPr>
      <t xml:space="preserve">.
</t>
    </r>
    <r>
      <rPr>
        <b/>
        <sz val="11"/>
        <color theme="1"/>
        <rFont val="Calibri"/>
        <family val="2"/>
        <scheme val="minor"/>
      </rPr>
      <t>Scenario d'évolution du PAS</t>
    </r>
    <r>
      <rPr>
        <sz val="11"/>
        <color theme="1"/>
        <rFont val="Calibri"/>
        <family val="2"/>
        <scheme val="minor"/>
      </rPr>
      <t>: augmentation de ses produits de base (15%); diversification avec d'autres produits (denrées alimentaires de base, poulets, etc.). L'évolution est calculé sur la base de bénéfices mensuels et en utilisant les résultats des AGRs d'autres groupements.</t>
    </r>
  </si>
  <si>
    <r>
      <t xml:space="preserve">Plan économique pour le </t>
    </r>
    <r>
      <rPr>
        <b/>
        <sz val="11"/>
        <color theme="1"/>
        <rFont val="Calibri"/>
        <family val="2"/>
        <scheme val="minor"/>
      </rPr>
      <t>premier année selon la définition élaborée avec le groupement</t>
    </r>
    <r>
      <rPr>
        <sz val="11"/>
        <color theme="1"/>
        <rFont val="Calibri"/>
        <family val="2"/>
        <scheme val="minor"/>
      </rPr>
      <t xml:space="preserve">.
</t>
    </r>
    <r>
      <rPr>
        <b/>
        <sz val="11"/>
        <color theme="1"/>
        <rFont val="Calibri"/>
        <family val="2"/>
        <scheme val="minor"/>
      </rPr>
      <t>Scenario d'évolution du PAS</t>
    </r>
    <r>
      <rPr>
        <sz val="11"/>
        <color theme="1"/>
        <rFont val="Calibri"/>
        <family val="2"/>
        <scheme val="minor"/>
      </rPr>
      <t>: augmentation de ses produits de base (50%); diversification avec d'autres produits (denrées alimentaires de base, poulets, etc.). L'évolution est calculé sur la base de bénéfices mensuels et en utilisant les résultats des AGRs d'autres groupements.</t>
    </r>
  </si>
  <si>
    <t xml:space="preserve">Investissement </t>
  </si>
  <si>
    <t>Dépenses fixes</t>
  </si>
  <si>
    <t>Dépenses variables</t>
  </si>
  <si>
    <t>Recettes</t>
  </si>
  <si>
    <t>RESUME</t>
  </si>
  <si>
    <t>Benefice. Diversification produits année 2</t>
  </si>
  <si>
    <t>Benefice. Diversification produits année 3</t>
  </si>
  <si>
    <t xml:space="preserve">Type/nom de l'activité génératrice de revenus: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</si>
</sst>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€_-;\-* #,##0.00\ _€_-;_-* &quot;-&quot;??\ _€_-;_-@_-"/>
    <numFmt numFmtId="164" formatCode="_-* #,##0.0\ _€_-;\-* #,##0.0\ _€_-;_-* &quot;-&quot;??\ _€_-;_-@_-"/>
    <numFmt numFmtId="165" formatCode="_-* #,##0\ _€_-;\-* #,##0\ _€_-;_-* &quot;-&quot;??\ _€_-;_-@_-"/>
  </numFmts>
  <fonts count="2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4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22"/>
      <color rgb="FFC00000"/>
      <name val="Calibri"/>
      <family val="2"/>
      <scheme val="minor"/>
    </font>
    <font>
      <b/>
      <sz val="14"/>
      <color rgb="FFC00000"/>
      <name val="Calibri"/>
      <family val="2"/>
      <scheme val="minor"/>
    </font>
    <font>
      <sz val="11"/>
      <color theme="2" tint="-0.249977111117893"/>
      <name val="Calibri"/>
      <family val="2"/>
      <scheme val="minor"/>
    </font>
    <font>
      <b/>
      <sz val="11"/>
      <color theme="2" tint="-0.24997711111789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sz val="11"/>
      <color theme="8" tint="-0.499984740745262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ECEADC"/>
        <bgColor indexed="64"/>
      </patternFill>
    </fill>
    <fill>
      <patternFill patternType="solid">
        <fgColor rgb="FFC7C09D"/>
        <bgColor indexed="64"/>
      </patternFill>
    </fill>
    <fill>
      <patternFill patternType="solid">
        <fgColor rgb="FFFFF13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6F5F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12">
    <xf numFmtId="0" fontId="0" fillId="0" borderId="0" xfId="0"/>
    <xf numFmtId="0" fontId="4" fillId="0" borderId="0" xfId="0" applyFont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8" fillId="0" borderId="0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0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3" fillId="3" borderId="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3" borderId="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165" fontId="0" fillId="3" borderId="0" xfId="1" applyNumberFormat="1" applyFont="1" applyFill="1" applyBorder="1" applyAlignment="1">
      <alignment horizontal="center" vertical="center"/>
    </xf>
    <xf numFmtId="165" fontId="4" fillId="4" borderId="0" xfId="1" applyNumberFormat="1" applyFont="1" applyFill="1" applyBorder="1" applyAlignment="1">
      <alignment horizontal="center" vertical="center"/>
    </xf>
    <xf numFmtId="165" fontId="0" fillId="0" borderId="0" xfId="1" applyNumberFormat="1" applyFont="1" applyBorder="1" applyAlignment="1">
      <alignment horizontal="center" vertical="center"/>
    </xf>
    <xf numFmtId="165" fontId="4" fillId="3" borderId="0" xfId="1" applyNumberFormat="1" applyFont="1" applyFill="1" applyBorder="1" applyAlignment="1">
      <alignment vertical="center"/>
    </xf>
    <xf numFmtId="165" fontId="9" fillId="2" borderId="0" xfId="1" applyNumberFormat="1" applyFont="1" applyFill="1" applyBorder="1" applyAlignment="1">
      <alignment horizontal="center" vertical="center"/>
    </xf>
    <xf numFmtId="165" fontId="3" fillId="0" borderId="0" xfId="1" applyNumberFormat="1" applyFont="1" applyBorder="1" applyAlignment="1">
      <alignment horizontal="center" vertical="center"/>
    </xf>
    <xf numFmtId="165" fontId="0" fillId="0" borderId="0" xfId="1" applyNumberFormat="1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6" fillId="0" borderId="0" xfId="0" applyFont="1" applyFill="1" applyBorder="1" applyAlignment="1">
      <alignment vertical="center" wrapText="1"/>
    </xf>
    <xf numFmtId="0" fontId="16" fillId="0" borderId="0" xfId="0" applyFont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4" fillId="5" borderId="0" xfId="0" applyFont="1" applyFill="1" applyBorder="1" applyAlignment="1">
      <alignment horizontal="center" vertical="center"/>
    </xf>
    <xf numFmtId="165" fontId="0" fillId="5" borderId="0" xfId="1" applyNumberFormat="1" applyFont="1" applyFill="1" applyBorder="1" applyAlignment="1">
      <alignment horizontal="center" vertical="center"/>
    </xf>
    <xf numFmtId="165" fontId="0" fillId="0" borderId="0" xfId="0" applyNumberFormat="1" applyFont="1" applyBorder="1" applyAlignment="1">
      <alignment vertical="center"/>
    </xf>
    <xf numFmtId="0" fontId="0" fillId="0" borderId="0" xfId="0" applyFill="1" applyAlignment="1">
      <alignment horizontal="left" vertical="top" wrapText="1"/>
    </xf>
    <xf numFmtId="0" fontId="0" fillId="0" borderId="0" xfId="0" applyFont="1" applyFill="1" applyBorder="1" applyAlignment="1">
      <alignment horizontal="center" vertical="center"/>
    </xf>
    <xf numFmtId="165" fontId="0" fillId="0" borderId="0" xfId="1" applyNumberFormat="1" applyFont="1" applyBorder="1" applyAlignment="1">
      <alignment horizontal="left" vertical="center"/>
    </xf>
    <xf numFmtId="165" fontId="18" fillId="2" borderId="0" xfId="1" applyNumberFormat="1" applyFont="1" applyFill="1" applyBorder="1" applyAlignment="1">
      <alignment horizontal="left" vertical="center"/>
    </xf>
    <xf numFmtId="165" fontId="3" fillId="0" borderId="0" xfId="1" applyNumberFormat="1" applyFont="1" applyBorder="1" applyAlignment="1">
      <alignment horizontal="left" vertical="center"/>
    </xf>
    <xf numFmtId="165" fontId="0" fillId="3" borderId="0" xfId="1" applyNumberFormat="1" applyFont="1" applyFill="1" applyBorder="1" applyAlignment="1">
      <alignment horizontal="left" vertical="center"/>
    </xf>
    <xf numFmtId="165" fontId="4" fillId="4" borderId="0" xfId="1" applyNumberFormat="1" applyFont="1" applyFill="1" applyBorder="1" applyAlignment="1">
      <alignment horizontal="left" vertical="center"/>
    </xf>
    <xf numFmtId="165" fontId="9" fillId="2" borderId="0" xfId="1" applyNumberFormat="1" applyFont="1" applyFill="1" applyBorder="1" applyAlignment="1">
      <alignment horizontal="left" vertical="center"/>
    </xf>
    <xf numFmtId="165" fontId="0" fillId="5" borderId="0" xfId="1" applyNumberFormat="1" applyFont="1" applyFill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2" fontId="0" fillId="0" borderId="0" xfId="0" applyNumberFormat="1" applyFont="1" applyBorder="1" applyAlignment="1">
      <alignment horizontal="center" vertical="center"/>
    </xf>
    <xf numFmtId="0" fontId="0" fillId="3" borderId="0" xfId="1" applyNumberFormat="1" applyFont="1" applyFill="1" applyBorder="1" applyAlignment="1">
      <alignment horizontal="center" vertical="center"/>
    </xf>
    <xf numFmtId="1" fontId="0" fillId="0" borderId="0" xfId="0" applyNumberFormat="1" applyFont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left" vertical="center"/>
    </xf>
    <xf numFmtId="165" fontId="0" fillId="0" borderId="0" xfId="1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left" vertical="top" wrapText="1"/>
    </xf>
    <xf numFmtId="0" fontId="4" fillId="3" borderId="0" xfId="0" applyFont="1" applyFill="1" applyBorder="1" applyAlignment="1">
      <alignment horizontal="center" vertical="center"/>
    </xf>
    <xf numFmtId="165" fontId="17" fillId="3" borderId="7" xfId="1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19" fillId="0" borderId="0" xfId="0" applyFont="1" applyBorder="1" applyAlignment="1">
      <alignment vertical="top" wrapText="1"/>
    </xf>
    <xf numFmtId="0" fontId="19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 vertical="top" wrapText="1"/>
    </xf>
    <xf numFmtId="0" fontId="0" fillId="0" borderId="0" xfId="0" applyFont="1" applyBorder="1" applyAlignment="1">
      <alignment horizontal="center" vertical="center" wrapText="1"/>
    </xf>
    <xf numFmtId="165" fontId="0" fillId="0" borderId="0" xfId="1" applyNumberFormat="1" applyFont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vertical="center" wrapText="1"/>
    </xf>
    <xf numFmtId="165" fontId="0" fillId="0" borderId="0" xfId="0" applyNumberFormat="1" applyFont="1" applyFill="1" applyBorder="1" applyAlignment="1">
      <alignment vertical="center"/>
    </xf>
    <xf numFmtId="165" fontId="4" fillId="0" borderId="0" xfId="0" applyNumberFormat="1" applyFont="1" applyBorder="1" applyAlignment="1">
      <alignment vertical="center"/>
    </xf>
    <xf numFmtId="0" fontId="9" fillId="2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vertical="center" wrapText="1"/>
    </xf>
    <xf numFmtId="0" fontId="0" fillId="3" borderId="0" xfId="0" applyFont="1" applyFill="1" applyBorder="1" applyAlignment="1">
      <alignment horizontal="center" vertical="center" wrapText="1"/>
    </xf>
    <xf numFmtId="165" fontId="0" fillId="3" borderId="0" xfId="1" applyNumberFormat="1" applyFont="1" applyFill="1" applyBorder="1" applyAlignment="1">
      <alignment horizontal="center" vertical="center" wrapText="1"/>
    </xf>
    <xf numFmtId="165" fontId="0" fillId="3" borderId="0" xfId="1" applyNumberFormat="1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165" fontId="0" fillId="0" borderId="0" xfId="1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18" fillId="2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 wrapText="1"/>
    </xf>
    <xf numFmtId="0" fontId="9" fillId="2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 wrapText="1"/>
    </xf>
    <xf numFmtId="0" fontId="11" fillId="3" borderId="0" xfId="0" applyFont="1" applyFill="1" applyBorder="1" applyAlignment="1">
      <alignment horizontal="left" vertical="center"/>
    </xf>
    <xf numFmtId="0" fontId="11" fillId="3" borderId="0" xfId="0" applyFont="1" applyFill="1" applyBorder="1" applyAlignment="1">
      <alignment horizontal="center" vertical="center"/>
    </xf>
    <xf numFmtId="165" fontId="11" fillId="3" borderId="0" xfId="0" applyNumberFormat="1" applyFont="1" applyFill="1" applyBorder="1" applyAlignment="1">
      <alignment horizontal="center" vertical="center"/>
    </xf>
    <xf numFmtId="165" fontId="11" fillId="3" borderId="0" xfId="1" applyNumberFormat="1" applyFont="1" applyFill="1" applyBorder="1" applyAlignment="1">
      <alignment horizontal="left" vertical="center"/>
    </xf>
    <xf numFmtId="0" fontId="20" fillId="0" borderId="0" xfId="0" applyFont="1" applyBorder="1" applyAlignment="1">
      <alignment vertical="center"/>
    </xf>
    <xf numFmtId="0" fontId="19" fillId="0" borderId="0" xfId="0" applyFont="1" applyFill="1" applyBorder="1" applyAlignment="1">
      <alignment vertical="top" wrapText="1"/>
    </xf>
    <xf numFmtId="165" fontId="19" fillId="0" borderId="0" xfId="1" applyNumberFormat="1" applyFont="1" applyFill="1" applyBorder="1" applyAlignment="1">
      <alignment horizontal="center" vertical="top" wrapText="1"/>
    </xf>
    <xf numFmtId="165" fontId="19" fillId="0" borderId="0" xfId="1" applyNumberFormat="1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vertical="center" wrapText="1"/>
    </xf>
    <xf numFmtId="165" fontId="4" fillId="3" borderId="0" xfId="0" applyNumberFormat="1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left" vertical="center"/>
    </xf>
    <xf numFmtId="165" fontId="4" fillId="3" borderId="0" xfId="0" applyNumberFormat="1" applyFont="1" applyFill="1" applyBorder="1" applyAlignment="1">
      <alignment horizontal="left" vertical="center"/>
    </xf>
    <xf numFmtId="165" fontId="0" fillId="0" borderId="0" xfId="1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 wrapText="1"/>
    </xf>
    <xf numFmtId="165" fontId="0" fillId="6" borderId="0" xfId="1" applyNumberFormat="1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165" fontId="0" fillId="6" borderId="0" xfId="1" applyNumberFormat="1" applyFont="1" applyFill="1" applyBorder="1" applyAlignment="1">
      <alignment horizontal="center" vertical="center"/>
    </xf>
    <xf numFmtId="165" fontId="0" fillId="6" borderId="0" xfId="0" applyNumberFormat="1" applyFont="1" applyFill="1" applyBorder="1" applyAlignment="1">
      <alignment vertical="center" wrapText="1"/>
    </xf>
    <xf numFmtId="165" fontId="0" fillId="0" borderId="0" xfId="0" applyNumberFormat="1" applyFont="1" applyBorder="1" applyAlignment="1">
      <alignment horizontal="left" vertical="center"/>
    </xf>
    <xf numFmtId="0" fontId="4" fillId="4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165" fontId="0" fillId="0" borderId="10" xfId="1" applyNumberFormat="1" applyFont="1" applyBorder="1" applyAlignment="1">
      <alignment horizontal="center" vertical="center"/>
    </xf>
    <xf numFmtId="165" fontId="0" fillId="0" borderId="11" xfId="1" applyNumberFormat="1" applyFont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165" fontId="0" fillId="0" borderId="10" xfId="1" applyNumberFormat="1" applyFont="1" applyFill="1" applyBorder="1" applyAlignment="1">
      <alignment horizontal="center" vertical="center"/>
    </xf>
    <xf numFmtId="165" fontId="0" fillId="0" borderId="11" xfId="1" applyNumberFormat="1" applyFont="1" applyFill="1" applyBorder="1" applyAlignment="1">
      <alignment horizontal="center" vertical="center"/>
    </xf>
    <xf numFmtId="0" fontId="21" fillId="3" borderId="0" xfId="0" applyFont="1" applyFill="1" applyBorder="1" applyAlignment="1">
      <alignment vertical="center"/>
    </xf>
    <xf numFmtId="0" fontId="22" fillId="8" borderId="0" xfId="0" applyFont="1" applyFill="1" applyBorder="1" applyAlignment="1">
      <alignment horizontal="center" vertical="center"/>
    </xf>
    <xf numFmtId="0" fontId="22" fillId="8" borderId="0" xfId="0" applyFont="1" applyFill="1" applyBorder="1" applyAlignment="1">
      <alignment vertical="center"/>
    </xf>
    <xf numFmtId="165" fontId="22" fillId="8" borderId="0" xfId="1" applyNumberFormat="1" applyFont="1" applyFill="1" applyBorder="1" applyAlignment="1">
      <alignment horizontal="center" vertical="center"/>
    </xf>
    <xf numFmtId="165" fontId="22" fillId="8" borderId="10" xfId="1" applyNumberFormat="1" applyFont="1" applyFill="1" applyBorder="1" applyAlignment="1">
      <alignment horizontal="center" vertical="center"/>
    </xf>
    <xf numFmtId="165" fontId="22" fillId="8" borderId="11" xfId="1" applyNumberFormat="1" applyFont="1" applyFill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165" fontId="22" fillId="8" borderId="0" xfId="1" applyNumberFormat="1" applyFont="1" applyFill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165" fontId="22" fillId="0" borderId="0" xfId="0" applyNumberFormat="1" applyFont="1" applyBorder="1" applyAlignment="1">
      <alignment vertical="center"/>
    </xf>
    <xf numFmtId="165" fontId="4" fillId="4" borderId="10" xfId="1" applyNumberFormat="1" applyFont="1" applyFill="1" applyBorder="1" applyAlignment="1">
      <alignment horizontal="center" vertical="center"/>
    </xf>
    <xf numFmtId="165" fontId="4" fillId="4" borderId="11" xfId="1" applyNumberFormat="1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22" fillId="0" borderId="0" xfId="0" applyFont="1" applyFill="1" applyBorder="1" applyAlignment="1">
      <alignment vertical="center"/>
    </xf>
    <xf numFmtId="165" fontId="22" fillId="0" borderId="0" xfId="0" applyNumberFormat="1" applyFont="1" applyFill="1" applyBorder="1" applyAlignment="1">
      <alignment vertical="center"/>
    </xf>
    <xf numFmtId="165" fontId="0" fillId="0" borderId="10" xfId="0" applyNumberFormat="1" applyFont="1" applyBorder="1" applyAlignment="1">
      <alignment vertical="center"/>
    </xf>
    <xf numFmtId="165" fontId="0" fillId="5" borderId="10" xfId="1" applyNumberFormat="1" applyFont="1" applyFill="1" applyBorder="1" applyAlignment="1">
      <alignment horizontal="center" vertical="center"/>
    </xf>
    <xf numFmtId="165" fontId="0" fillId="5" borderId="11" xfId="1" applyNumberFormat="1" applyFont="1" applyFill="1" applyBorder="1" applyAlignment="1">
      <alignment horizontal="center" vertical="center"/>
    </xf>
    <xf numFmtId="165" fontId="4" fillId="4" borderId="12" xfId="1" applyNumberFormat="1" applyFont="1" applyFill="1" applyBorder="1" applyAlignment="1">
      <alignment horizontal="center" vertical="center"/>
    </xf>
    <xf numFmtId="165" fontId="4" fillId="4" borderId="13" xfId="1" applyNumberFormat="1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3" borderId="0" xfId="0" applyFont="1" applyFill="1" applyBorder="1" applyAlignment="1">
      <alignment horizontal="center" vertical="center"/>
    </xf>
    <xf numFmtId="0" fontId="21" fillId="3" borderId="0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vertical="center"/>
    </xf>
    <xf numFmtId="0" fontId="22" fillId="3" borderId="0" xfId="0" applyFont="1" applyFill="1" applyBorder="1" applyAlignment="1">
      <alignment horizontal="left" vertical="center"/>
    </xf>
    <xf numFmtId="0" fontId="22" fillId="3" borderId="0" xfId="0" applyFont="1" applyFill="1" applyBorder="1" applyAlignment="1">
      <alignment horizontal="center" vertical="center"/>
    </xf>
    <xf numFmtId="0" fontId="22" fillId="8" borderId="11" xfId="0" applyFont="1" applyFill="1" applyBorder="1" applyAlignment="1">
      <alignment horizontal="center" vertical="center"/>
    </xf>
    <xf numFmtId="165" fontId="0" fillId="0" borderId="11" xfId="0" applyNumberFormat="1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165" fontId="10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5" fontId="18" fillId="9" borderId="8" xfId="1" applyNumberFormat="1" applyFont="1" applyFill="1" applyBorder="1" applyAlignment="1">
      <alignment horizontal="center" vertical="center"/>
    </xf>
    <xf numFmtId="165" fontId="18" fillId="9" borderId="14" xfId="1" applyNumberFormat="1" applyFont="1" applyFill="1" applyBorder="1" applyAlignment="1">
      <alignment horizontal="center" vertical="center"/>
    </xf>
    <xf numFmtId="0" fontId="18" fillId="9" borderId="12" xfId="0" applyFont="1" applyFill="1" applyBorder="1" applyAlignment="1">
      <alignment horizontal="center" vertical="center"/>
    </xf>
    <xf numFmtId="165" fontId="18" fillId="9" borderId="15" xfId="1" applyNumberFormat="1" applyFont="1" applyFill="1" applyBorder="1" applyAlignment="1">
      <alignment horizontal="center" vertical="center"/>
    </xf>
    <xf numFmtId="165" fontId="18" fillId="9" borderId="12" xfId="1" applyNumberFormat="1" applyFont="1" applyFill="1" applyBorder="1" applyAlignment="1">
      <alignment horizontal="center" vertical="center"/>
    </xf>
    <xf numFmtId="165" fontId="18" fillId="9" borderId="13" xfId="1" applyNumberFormat="1" applyFont="1" applyFill="1" applyBorder="1" applyAlignment="1">
      <alignment horizontal="center" vertical="center"/>
    </xf>
    <xf numFmtId="0" fontId="4" fillId="10" borderId="10" xfId="0" applyFont="1" applyFill="1" applyBorder="1" applyAlignment="1">
      <alignment horizontal="center" vertical="center"/>
    </xf>
    <xf numFmtId="165" fontId="0" fillId="10" borderId="0" xfId="1" applyNumberFormat="1" applyFont="1" applyFill="1" applyBorder="1" applyAlignment="1">
      <alignment horizontal="center" vertical="center"/>
    </xf>
    <xf numFmtId="165" fontId="0" fillId="10" borderId="10" xfId="1" applyNumberFormat="1" applyFont="1" applyFill="1" applyBorder="1" applyAlignment="1">
      <alignment horizontal="center" vertical="center"/>
    </xf>
    <xf numFmtId="165" fontId="0" fillId="10" borderId="11" xfId="1" applyNumberFormat="1" applyFont="1" applyFill="1" applyBorder="1" applyAlignment="1">
      <alignment horizontal="center" vertical="center"/>
    </xf>
    <xf numFmtId="165" fontId="18" fillId="9" borderId="9" xfId="1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horizontal="center" vertical="center"/>
    </xf>
    <xf numFmtId="0" fontId="1" fillId="6" borderId="0" xfId="0" applyFont="1" applyFill="1" applyBorder="1" applyAlignment="1">
      <alignment horizontal="center" vertical="center"/>
    </xf>
    <xf numFmtId="0" fontId="10" fillId="6" borderId="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left" vertical="center"/>
    </xf>
    <xf numFmtId="164" fontId="17" fillId="3" borderId="3" xfId="1" applyNumberFormat="1" applyFont="1" applyFill="1" applyBorder="1" applyAlignment="1">
      <alignment horizontal="center" vertical="center"/>
    </xf>
    <xf numFmtId="164" fontId="17" fillId="3" borderId="1" xfId="1" applyNumberFormat="1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0" fillId="3" borderId="3" xfId="0" applyFont="1" applyFill="1" applyBorder="1" applyAlignment="1">
      <alignment horizontal="left" vertical="center" wrapText="1"/>
    </xf>
    <xf numFmtId="0" fontId="0" fillId="3" borderId="1" xfId="0" applyFont="1" applyFill="1" applyBorder="1" applyAlignment="1">
      <alignment horizontal="left" vertical="center" wrapText="1"/>
    </xf>
    <xf numFmtId="0" fontId="0" fillId="3" borderId="3" xfId="0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3" xfId="0" applyFont="1" applyFill="1" applyBorder="1" applyAlignment="1">
      <alignment horizontal="left" vertical="center"/>
    </xf>
    <xf numFmtId="165" fontId="4" fillId="3" borderId="3" xfId="1" applyNumberFormat="1" applyFont="1" applyFill="1" applyBorder="1" applyAlignment="1">
      <alignment horizontal="center" vertical="center"/>
    </xf>
    <xf numFmtId="165" fontId="4" fillId="3" borderId="1" xfId="1" applyNumberFormat="1" applyFont="1" applyFill="1" applyBorder="1" applyAlignment="1">
      <alignment horizontal="center" vertical="center"/>
    </xf>
    <xf numFmtId="0" fontId="18" fillId="9" borderId="8" xfId="0" applyFont="1" applyFill="1" applyBorder="1" applyAlignment="1">
      <alignment horizontal="center" vertical="center"/>
    </xf>
    <xf numFmtId="0" fontId="18" fillId="9" borderId="9" xfId="0" applyFont="1" applyFill="1" applyBorder="1" applyAlignment="1">
      <alignment horizontal="center" vertical="center"/>
    </xf>
    <xf numFmtId="0" fontId="0" fillId="10" borderId="0" xfId="0" applyFont="1" applyFill="1" applyBorder="1" applyAlignment="1">
      <alignment horizontal="left" vertical="center"/>
    </xf>
    <xf numFmtId="0" fontId="18" fillId="9" borderId="15" xfId="0" applyFont="1" applyFill="1" applyBorder="1" applyAlignment="1">
      <alignment horizontal="left" vertical="center"/>
    </xf>
    <xf numFmtId="0" fontId="4" fillId="4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5" borderId="0" xfId="0" applyFont="1" applyFill="1" applyBorder="1" applyAlignment="1">
      <alignment horizontal="center" vertical="center"/>
    </xf>
    <xf numFmtId="0" fontId="18" fillId="9" borderId="14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0" fillId="7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0" fillId="3" borderId="4" xfId="0" applyFont="1" applyFill="1" applyBorder="1" applyAlignment="1">
      <alignment horizontal="left" vertical="center" wrapText="1"/>
    </xf>
    <xf numFmtId="0" fontId="0" fillId="3" borderId="5" xfId="0" applyFont="1" applyFill="1" applyBorder="1" applyAlignment="1">
      <alignment horizontal="left" vertical="center" wrapText="1"/>
    </xf>
    <xf numFmtId="0" fontId="0" fillId="3" borderId="6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/>
    </xf>
    <xf numFmtId="0" fontId="6" fillId="3" borderId="5" xfId="0" applyFont="1" applyFill="1" applyBorder="1" applyAlignment="1">
      <alignment horizontal="left" vertical="center"/>
    </xf>
    <xf numFmtId="0" fontId="6" fillId="3" borderId="6" xfId="0" applyFont="1" applyFill="1" applyBorder="1" applyAlignment="1">
      <alignment horizontal="left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DCEFF4"/>
      <color rgb="FFFFDDDD"/>
      <color rgb="FFECEADC"/>
      <color rgb="FFFFF13B"/>
      <color rgb="FFC7C09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694765</xdr:colOff>
      <xdr:row>0</xdr:row>
      <xdr:rowOff>51867</xdr:rowOff>
    </xdr:from>
    <xdr:to>
      <xdr:col>7</xdr:col>
      <xdr:colOff>974751</xdr:colOff>
      <xdr:row>2</xdr:row>
      <xdr:rowOff>190500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436C12B-7AD7-4D52-A83F-B7A9FD4136D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71490" y="51867"/>
          <a:ext cx="3223211" cy="69108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425824</xdr:colOff>
      <xdr:row>0</xdr:row>
      <xdr:rowOff>0</xdr:rowOff>
    </xdr:from>
    <xdr:to>
      <xdr:col>7</xdr:col>
      <xdr:colOff>862693</xdr:colOff>
      <xdr:row>2</xdr:row>
      <xdr:rowOff>138633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6827791-CC04-4CD9-8BD9-027B32ECC35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92589" y="0"/>
          <a:ext cx="3496075" cy="68772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425824</xdr:colOff>
      <xdr:row>0</xdr:row>
      <xdr:rowOff>0</xdr:rowOff>
    </xdr:from>
    <xdr:to>
      <xdr:col>7</xdr:col>
      <xdr:colOff>862693</xdr:colOff>
      <xdr:row>2</xdr:row>
      <xdr:rowOff>138633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E8B4819-C395-4118-BE7B-319577741D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59824" y="0"/>
          <a:ext cx="3484869" cy="69108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168089</xdr:colOff>
      <xdr:row>0</xdr:row>
      <xdr:rowOff>104213</xdr:rowOff>
    </xdr:from>
    <xdr:to>
      <xdr:col>5</xdr:col>
      <xdr:colOff>2063004</xdr:colOff>
      <xdr:row>3</xdr:row>
      <xdr:rowOff>22412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2F06A8B-B985-4136-AF90-97540FBB78B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32177" y="104213"/>
          <a:ext cx="2948268" cy="70261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9"/>
  <sheetViews>
    <sheetView tabSelected="1" zoomScale="85" zoomScaleNormal="85" zoomScalePageLayoutView="85" workbookViewId="0">
      <pane ySplit="3" topLeftCell="A4" activePane="bottomLeft" state="frozen"/>
      <selection pane="bottomLeft" activeCell="A7" sqref="A7:B7"/>
    </sheetView>
  </sheetViews>
  <sheetFormatPr baseColWidth="10" defaultColWidth="10.85546875" defaultRowHeight="15" x14ac:dyDescent="0.25"/>
  <cols>
    <col min="1" max="1" width="10.140625" style="9" customWidth="1"/>
    <col min="2" max="2" width="39.28515625" style="9" customWidth="1"/>
    <col min="3" max="8" width="14.7109375" style="9" customWidth="1"/>
    <col min="9" max="9" width="47.28515625" style="53" customWidth="1"/>
    <col min="10" max="10" width="19.42578125" style="37" hidden="1" customWidth="1"/>
    <col min="11" max="16384" width="10.85546875" style="9"/>
  </cols>
  <sheetData>
    <row r="1" spans="1:11" ht="28.5" x14ac:dyDescent="0.25">
      <c r="A1" s="28" t="s">
        <v>49</v>
      </c>
      <c r="B1" s="4"/>
      <c r="C1" s="5"/>
      <c r="D1" s="5"/>
      <c r="E1" s="5"/>
      <c r="G1" s="10"/>
      <c r="H1" s="10"/>
    </row>
    <row r="2" spans="1:11" x14ac:dyDescent="0.25">
      <c r="A2" s="1"/>
      <c r="B2" s="7"/>
      <c r="C2" s="5"/>
      <c r="D2" s="5"/>
      <c r="E2" s="5"/>
      <c r="G2" s="10"/>
      <c r="H2" s="10"/>
    </row>
    <row r="3" spans="1:11" ht="18.75" x14ac:dyDescent="0.25">
      <c r="A3" s="29" t="s">
        <v>48</v>
      </c>
      <c r="B3" s="4"/>
      <c r="G3" s="10"/>
      <c r="H3" s="10"/>
    </row>
    <row r="4" spans="1:11" x14ac:dyDescent="0.25">
      <c r="A4" s="1"/>
      <c r="B4" s="4"/>
      <c r="G4" s="10"/>
      <c r="H4" s="10"/>
    </row>
    <row r="5" spans="1:11" ht="18.75" customHeight="1" x14ac:dyDescent="0.25">
      <c r="A5" s="179" t="s">
        <v>30</v>
      </c>
      <c r="B5" s="179"/>
      <c r="C5" s="179"/>
      <c r="D5" s="179"/>
      <c r="E5" s="179"/>
      <c r="F5" s="179"/>
      <c r="G5" s="179"/>
      <c r="H5" s="179"/>
      <c r="J5" s="38"/>
      <c r="K5" s="2"/>
    </row>
    <row r="6" spans="1:11" ht="18.75" customHeight="1" thickBot="1" x14ac:dyDescent="0.3">
      <c r="A6" s="14"/>
      <c r="B6" s="14"/>
      <c r="C6" s="14"/>
      <c r="D6" s="14"/>
      <c r="E6" s="14"/>
      <c r="F6" s="14"/>
      <c r="G6" s="14"/>
      <c r="H6" s="14"/>
      <c r="I6" s="57"/>
      <c r="J6" s="38" t="s">
        <v>59</v>
      </c>
      <c r="K6" s="2"/>
    </row>
    <row r="7" spans="1:11" ht="36" customHeight="1" thickBot="1" x14ac:dyDescent="0.3">
      <c r="A7" s="180" t="s">
        <v>164</v>
      </c>
      <c r="B7" s="181"/>
      <c r="C7" s="182" t="s">
        <v>131</v>
      </c>
      <c r="D7" s="182"/>
      <c r="E7" s="182"/>
      <c r="F7" s="182"/>
      <c r="G7" s="182"/>
      <c r="H7" s="183"/>
      <c r="J7" s="38" t="s">
        <v>55</v>
      </c>
      <c r="K7" s="2"/>
    </row>
    <row r="8" spans="1:11" ht="18" customHeight="1" thickBot="1" x14ac:dyDescent="0.3">
      <c r="A8" s="180" t="s">
        <v>41</v>
      </c>
      <c r="B8" s="181"/>
      <c r="C8" s="184" t="s">
        <v>65</v>
      </c>
      <c r="D8" s="184"/>
      <c r="E8" s="184"/>
      <c r="F8" s="184"/>
      <c r="G8" s="184"/>
      <c r="H8" s="185"/>
      <c r="J8" s="38" t="s">
        <v>61</v>
      </c>
      <c r="K8" s="2"/>
    </row>
    <row r="9" spans="1:11" ht="18" customHeight="1" thickBot="1" x14ac:dyDescent="0.3">
      <c r="A9" s="19" t="s">
        <v>42</v>
      </c>
      <c r="B9" s="20"/>
      <c r="C9" s="16"/>
      <c r="D9" s="16"/>
      <c r="E9" s="19" t="s">
        <v>29</v>
      </c>
      <c r="F9" s="17" t="s">
        <v>66</v>
      </c>
      <c r="G9" s="17"/>
      <c r="H9" s="18"/>
      <c r="J9" s="38" t="s">
        <v>60</v>
      </c>
      <c r="K9" s="2"/>
    </row>
    <row r="10" spans="1:11" ht="18" customHeight="1" thickBot="1" x14ac:dyDescent="0.3">
      <c r="A10" s="15"/>
      <c r="B10" s="15"/>
      <c r="E10" s="7"/>
      <c r="F10" s="7"/>
      <c r="G10" s="7"/>
      <c r="H10" s="7"/>
      <c r="J10" s="38" t="s">
        <v>64</v>
      </c>
      <c r="K10" s="2"/>
    </row>
    <row r="11" spans="1:11" ht="16.5" thickBot="1" x14ac:dyDescent="0.3">
      <c r="A11" s="180" t="s">
        <v>32</v>
      </c>
      <c r="B11" s="181"/>
      <c r="C11" s="181"/>
      <c r="D11" s="181"/>
      <c r="E11" s="181"/>
      <c r="F11" s="181"/>
      <c r="G11" s="186" t="s">
        <v>60</v>
      </c>
      <c r="H11" s="187"/>
      <c r="J11" s="38" t="s">
        <v>57</v>
      </c>
    </row>
    <row r="12" spans="1:11" s="3" customFormat="1" ht="16.5" thickBot="1" x14ac:dyDescent="0.3">
      <c r="A12" s="188" t="s">
        <v>31</v>
      </c>
      <c r="B12" s="189"/>
      <c r="C12" s="177">
        <v>85000</v>
      </c>
      <c r="D12" s="178"/>
      <c r="E12" s="188" t="s">
        <v>43</v>
      </c>
      <c r="F12" s="189"/>
      <c r="G12" s="190" t="s">
        <v>130</v>
      </c>
      <c r="H12" s="191"/>
      <c r="I12" s="53"/>
      <c r="J12" s="39" t="s">
        <v>58</v>
      </c>
    </row>
    <row r="13" spans="1:11" x14ac:dyDescent="0.25">
      <c r="A13" s="13"/>
      <c r="B13" s="13"/>
      <c r="C13" s="12"/>
      <c r="D13" s="12"/>
      <c r="E13" s="12"/>
      <c r="F13" s="12"/>
      <c r="G13" s="12"/>
      <c r="H13" s="12"/>
      <c r="I13" s="12"/>
      <c r="J13" s="40" t="s">
        <v>56</v>
      </c>
      <c r="K13" s="3"/>
    </row>
    <row r="14" spans="1:11" ht="18.75" x14ac:dyDescent="0.25">
      <c r="A14" s="179" t="s">
        <v>4</v>
      </c>
      <c r="B14" s="179"/>
      <c r="C14" s="179"/>
      <c r="D14" s="179"/>
      <c r="E14" s="179"/>
      <c r="F14" s="179"/>
      <c r="G14" s="179" t="s">
        <v>27</v>
      </c>
      <c r="H14" s="179"/>
      <c r="I14" s="58" t="s">
        <v>72</v>
      </c>
      <c r="J14" s="40"/>
    </row>
    <row r="15" spans="1:11" x14ac:dyDescent="0.25">
      <c r="A15" s="6" t="s">
        <v>8</v>
      </c>
      <c r="B15" s="6" t="s">
        <v>2</v>
      </c>
      <c r="C15" s="6" t="s">
        <v>44</v>
      </c>
      <c r="D15" s="6" t="s">
        <v>3</v>
      </c>
      <c r="E15" s="6" t="s">
        <v>33</v>
      </c>
      <c r="F15" s="6" t="s">
        <v>1</v>
      </c>
      <c r="G15" s="21" t="s">
        <v>40</v>
      </c>
      <c r="H15" s="21" t="s">
        <v>47</v>
      </c>
      <c r="I15" s="59"/>
      <c r="J15" s="40"/>
    </row>
    <row r="16" spans="1:11" x14ac:dyDescent="0.25">
      <c r="A16" s="23"/>
      <c r="B16" s="24" t="s">
        <v>148</v>
      </c>
      <c r="C16" s="21"/>
      <c r="D16" s="21"/>
      <c r="E16" s="21"/>
      <c r="F16" s="26"/>
      <c r="G16" s="26"/>
      <c r="H16" s="21"/>
      <c r="I16" s="21"/>
      <c r="J16" s="59"/>
      <c r="K16" s="40"/>
    </row>
    <row r="17" spans="1:12" s="66" customFormat="1" ht="14.45" customHeight="1" x14ac:dyDescent="0.25">
      <c r="A17" s="70" t="s">
        <v>13</v>
      </c>
      <c r="B17" s="66" t="s">
        <v>95</v>
      </c>
      <c r="C17" s="70">
        <v>2</v>
      </c>
      <c r="D17" s="70" t="s">
        <v>150</v>
      </c>
      <c r="E17" s="71">
        <v>3500</v>
      </c>
      <c r="F17" s="71">
        <f>C17*E17</f>
        <v>7000</v>
      </c>
      <c r="G17" s="78">
        <v>10</v>
      </c>
      <c r="H17" s="79">
        <f>1/G17*F17</f>
        <v>700</v>
      </c>
      <c r="I17" s="80" t="s">
        <v>104</v>
      </c>
      <c r="J17" s="38"/>
    </row>
    <row r="18" spans="1:12" s="66" customFormat="1" ht="14.45" customHeight="1" x14ac:dyDescent="0.25">
      <c r="A18" s="70" t="s">
        <v>14</v>
      </c>
      <c r="B18" s="66" t="s">
        <v>135</v>
      </c>
      <c r="C18" s="70">
        <v>1</v>
      </c>
      <c r="D18" s="70" t="s">
        <v>150</v>
      </c>
      <c r="E18" s="71">
        <v>1400</v>
      </c>
      <c r="F18" s="71">
        <f>C18*E18</f>
        <v>1400</v>
      </c>
      <c r="G18" s="78">
        <v>10</v>
      </c>
      <c r="H18" s="79">
        <f>1/G18*F18</f>
        <v>140</v>
      </c>
      <c r="I18" s="80" t="s">
        <v>94</v>
      </c>
      <c r="J18" s="38"/>
    </row>
    <row r="19" spans="1:12" s="66" customFormat="1" x14ac:dyDescent="0.25">
      <c r="A19" s="70" t="s">
        <v>15</v>
      </c>
      <c r="B19" s="66" t="s">
        <v>136</v>
      </c>
      <c r="C19" s="70">
        <v>1</v>
      </c>
      <c r="D19" s="70" t="s">
        <v>150</v>
      </c>
      <c r="E19" s="71">
        <f>1500+4000</f>
        <v>5500</v>
      </c>
      <c r="F19" s="71">
        <f>C19*E19</f>
        <v>5500</v>
      </c>
      <c r="G19" s="78">
        <v>10</v>
      </c>
      <c r="H19" s="79">
        <f t="shared" ref="H19:H20" si="0">1/G19*F19</f>
        <v>550</v>
      </c>
      <c r="I19" s="80" t="s">
        <v>108</v>
      </c>
      <c r="J19" s="38"/>
    </row>
    <row r="20" spans="1:12" s="84" customFormat="1" ht="30" x14ac:dyDescent="0.25">
      <c r="A20" s="70" t="s">
        <v>16</v>
      </c>
      <c r="B20" s="61" t="s">
        <v>80</v>
      </c>
      <c r="C20" s="81">
        <v>1</v>
      </c>
      <c r="D20" s="70" t="s">
        <v>150</v>
      </c>
      <c r="E20" s="82">
        <v>54000</v>
      </c>
      <c r="F20" s="71">
        <f>C20*E20</f>
        <v>54000</v>
      </c>
      <c r="G20" s="78">
        <v>5</v>
      </c>
      <c r="H20" s="79">
        <f t="shared" si="0"/>
        <v>10800</v>
      </c>
      <c r="I20" s="80" t="s">
        <v>81</v>
      </c>
      <c r="J20" s="83"/>
    </row>
    <row r="21" spans="1:12" s="84" customFormat="1" ht="30" x14ac:dyDescent="0.25">
      <c r="A21" s="70" t="s">
        <v>17</v>
      </c>
      <c r="B21" s="61" t="s">
        <v>82</v>
      </c>
      <c r="C21" s="81">
        <v>1</v>
      </c>
      <c r="D21" s="81" t="s">
        <v>105</v>
      </c>
      <c r="E21" s="82">
        <v>2000</v>
      </c>
      <c r="F21" s="71">
        <f>C21*E21</f>
        <v>2000</v>
      </c>
      <c r="G21" s="78"/>
      <c r="H21" s="79"/>
      <c r="I21" s="80"/>
      <c r="J21" s="83"/>
    </row>
    <row r="22" spans="1:12" s="66" customFormat="1" x14ac:dyDescent="0.25">
      <c r="A22" s="70"/>
      <c r="B22" s="44"/>
      <c r="C22" s="70"/>
      <c r="D22" s="70"/>
      <c r="E22" s="71"/>
      <c r="F22" s="71"/>
      <c r="G22" s="78"/>
      <c r="H22" s="79"/>
      <c r="I22" s="80"/>
      <c r="J22" s="77"/>
    </row>
    <row r="23" spans="1:12" s="7" customFormat="1" x14ac:dyDescent="0.25">
      <c r="A23" s="27" t="s">
        <v>9</v>
      </c>
      <c r="B23" s="176" t="s">
        <v>0</v>
      </c>
      <c r="C23" s="176"/>
      <c r="D23" s="176"/>
      <c r="E23" s="176"/>
      <c r="F23" s="31">
        <f>SUM(F17:F22)</f>
        <v>69900</v>
      </c>
      <c r="G23" s="22"/>
      <c r="H23" s="31">
        <f>SUM(H17:H22)</f>
        <v>12190</v>
      </c>
      <c r="I23" s="50"/>
      <c r="J23" s="39"/>
    </row>
    <row r="24" spans="1:12" s="84" customFormat="1" x14ac:dyDescent="0.25">
      <c r="A24" s="70"/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</row>
    <row r="25" spans="1:12" s="134" customFormat="1" x14ac:dyDescent="0.25">
      <c r="A25" s="149" t="s">
        <v>8</v>
      </c>
      <c r="B25" s="149" t="s">
        <v>2</v>
      </c>
      <c r="C25" s="149" t="s">
        <v>44</v>
      </c>
      <c r="D25" s="149" t="s">
        <v>3</v>
      </c>
      <c r="E25" s="149" t="s">
        <v>33</v>
      </c>
      <c r="F25" s="149" t="s">
        <v>1</v>
      </c>
      <c r="G25" s="150" t="s">
        <v>40</v>
      </c>
      <c r="H25" s="150" t="s">
        <v>47</v>
      </c>
      <c r="I25" s="151"/>
      <c r="J25" s="152"/>
    </row>
    <row r="26" spans="1:12" s="134" customFormat="1" x14ac:dyDescent="0.25">
      <c r="A26" s="153"/>
      <c r="B26" s="126" t="s">
        <v>149</v>
      </c>
      <c r="C26" s="150"/>
      <c r="D26" s="150"/>
      <c r="E26" s="154"/>
      <c r="F26" s="154"/>
      <c r="G26" s="150"/>
      <c r="H26" s="150"/>
      <c r="I26" s="151"/>
      <c r="J26" s="152"/>
    </row>
    <row r="27" spans="1:12" s="66" customFormat="1" ht="14.45" customHeight="1" x14ac:dyDescent="0.25">
      <c r="A27" s="70" t="s">
        <v>13</v>
      </c>
      <c r="B27" s="66" t="s">
        <v>95</v>
      </c>
      <c r="C27" s="70">
        <v>1</v>
      </c>
      <c r="D27" s="70" t="s">
        <v>150</v>
      </c>
      <c r="E27" s="71">
        <v>3500</v>
      </c>
      <c r="F27" s="71">
        <f>C27*E27</f>
        <v>3500</v>
      </c>
      <c r="G27" s="78">
        <v>10</v>
      </c>
      <c r="H27" s="79">
        <f>1/G27*F27</f>
        <v>350</v>
      </c>
      <c r="I27" s="80"/>
      <c r="J27" s="38"/>
    </row>
    <row r="28" spans="1:12" s="66" customFormat="1" ht="14.45" customHeight="1" x14ac:dyDescent="0.25">
      <c r="A28" s="70" t="s">
        <v>14</v>
      </c>
      <c r="B28" s="66" t="s">
        <v>151</v>
      </c>
      <c r="C28" s="70">
        <v>1</v>
      </c>
      <c r="D28" s="81" t="s">
        <v>105</v>
      </c>
      <c r="E28" s="71">
        <v>5000</v>
      </c>
      <c r="F28" s="71">
        <f>C28*E28</f>
        <v>5000</v>
      </c>
      <c r="G28" s="78">
        <v>10</v>
      </c>
      <c r="H28" s="79">
        <f>1/G28*F28</f>
        <v>500</v>
      </c>
      <c r="I28" s="80"/>
      <c r="J28" s="38"/>
    </row>
    <row r="29" spans="1:12" s="66" customFormat="1" x14ac:dyDescent="0.25">
      <c r="A29" s="70" t="s">
        <v>15</v>
      </c>
      <c r="B29" s="66" t="s">
        <v>152</v>
      </c>
      <c r="C29" s="70">
        <v>1</v>
      </c>
      <c r="D29" s="70" t="s">
        <v>105</v>
      </c>
      <c r="E29" s="71">
        <v>5000</v>
      </c>
      <c r="F29" s="71">
        <f>C29*E29</f>
        <v>5000</v>
      </c>
      <c r="G29" s="78">
        <v>10</v>
      </c>
      <c r="H29" s="79">
        <f t="shared" ref="H29" si="1">1/G29*F29</f>
        <v>500</v>
      </c>
      <c r="I29" s="80"/>
      <c r="J29" s="38"/>
    </row>
    <row r="30" spans="1:12" s="66" customFormat="1" x14ac:dyDescent="0.25">
      <c r="A30" s="70"/>
      <c r="B30" s="44"/>
      <c r="C30" s="70"/>
      <c r="D30" s="70"/>
      <c r="E30" s="71"/>
      <c r="F30" s="71"/>
      <c r="G30" s="78"/>
      <c r="H30" s="79"/>
      <c r="I30" s="80"/>
      <c r="J30" s="77"/>
    </row>
    <row r="31" spans="1:12" s="7" customFormat="1" x14ac:dyDescent="0.25">
      <c r="A31" s="114" t="s">
        <v>9</v>
      </c>
      <c r="B31" s="176" t="s">
        <v>153</v>
      </c>
      <c r="C31" s="176"/>
      <c r="D31" s="176"/>
      <c r="E31" s="176"/>
      <c r="F31" s="31">
        <f>SUM(F27:F30)</f>
        <v>13500</v>
      </c>
      <c r="G31" s="22"/>
      <c r="H31" s="31">
        <f>SUM(H27:H30)</f>
        <v>1350</v>
      </c>
      <c r="I31" s="50"/>
      <c r="J31" s="39"/>
    </row>
    <row r="44" spans="1:2" x14ac:dyDescent="0.25">
      <c r="A44" s="11"/>
      <c r="B44" s="11"/>
    </row>
    <row r="45" spans="1:2" x14ac:dyDescent="0.25">
      <c r="A45" s="11"/>
      <c r="B45" s="11"/>
    </row>
    <row r="46" spans="1:2" x14ac:dyDescent="0.25">
      <c r="A46" s="11"/>
      <c r="B46" s="11"/>
    </row>
    <row r="47" spans="1:2" x14ac:dyDescent="0.25">
      <c r="A47" s="11"/>
      <c r="B47" s="11"/>
    </row>
    <row r="48" spans="1:2" x14ac:dyDescent="0.25">
      <c r="A48" s="11"/>
      <c r="B48" s="11"/>
    </row>
    <row r="49" spans="2:2" x14ac:dyDescent="0.25">
      <c r="B49" s="11"/>
    </row>
  </sheetData>
  <mergeCells count="15">
    <mergeCell ref="B31:E31"/>
    <mergeCell ref="C12:D12"/>
    <mergeCell ref="B23:E23"/>
    <mergeCell ref="A5:H5"/>
    <mergeCell ref="A7:B7"/>
    <mergeCell ref="C7:H7"/>
    <mergeCell ref="A8:B8"/>
    <mergeCell ref="C8:H8"/>
    <mergeCell ref="A11:F11"/>
    <mergeCell ref="G11:H11"/>
    <mergeCell ref="A12:B12"/>
    <mergeCell ref="E12:F12"/>
    <mergeCell ref="G12:H12"/>
    <mergeCell ref="A14:F14"/>
    <mergeCell ref="G14:H14"/>
  </mergeCells>
  <dataValidations count="1">
    <dataValidation type="list" allowBlank="1" showInputMessage="1" showErrorMessage="1" sqref="G11:H11" xr:uid="{00000000-0002-0000-0000-000000000000}">
      <formula1>$J$7:$J$15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71"/>
  <sheetViews>
    <sheetView zoomScale="85" zoomScaleNormal="85" zoomScalePageLayoutView="85" workbookViewId="0">
      <pane ySplit="6" topLeftCell="A7" activePane="bottomLeft" state="frozen"/>
      <selection pane="bottomLeft" activeCell="K24" sqref="K24"/>
    </sheetView>
  </sheetViews>
  <sheetFormatPr baseColWidth="10" defaultColWidth="10.85546875" defaultRowHeight="15" x14ac:dyDescent="0.25"/>
  <cols>
    <col min="1" max="1" width="10.140625" style="9" customWidth="1"/>
    <col min="2" max="2" width="40.42578125" style="9" customWidth="1"/>
    <col min="3" max="6" width="14.7109375" style="9" customWidth="1"/>
    <col min="7" max="7" width="16.28515625" style="9" customWidth="1"/>
    <col min="8" max="9" width="14.7109375" style="9" customWidth="1"/>
    <col min="10" max="10" width="3.42578125" style="11" customWidth="1"/>
    <col min="11" max="13" width="14.7109375" style="36" customWidth="1"/>
    <col min="14" max="14" width="46.5703125" style="46" bestFit="1" customWidth="1"/>
    <col min="15" max="15" width="19.7109375" style="9" customWidth="1"/>
    <col min="16" max="16384" width="10.85546875" style="9"/>
  </cols>
  <sheetData>
    <row r="1" spans="1:16" ht="28.5" x14ac:dyDescent="0.25">
      <c r="A1" s="28" t="s">
        <v>39</v>
      </c>
      <c r="B1" s="4"/>
      <c r="C1" s="5"/>
      <c r="D1" s="5"/>
      <c r="F1" s="115"/>
      <c r="G1" s="115"/>
      <c r="H1" s="115"/>
      <c r="I1" s="115"/>
      <c r="J1" s="45"/>
      <c r="K1" s="32"/>
      <c r="L1" s="32"/>
      <c r="M1" s="32"/>
    </row>
    <row r="2" spans="1:16" x14ac:dyDescent="0.25">
      <c r="A2" s="1"/>
      <c r="B2" s="7"/>
      <c r="C2" s="5"/>
      <c r="D2" s="5"/>
      <c r="F2" s="115"/>
      <c r="G2" s="115"/>
      <c r="H2" s="115"/>
      <c r="I2" s="115"/>
      <c r="J2" s="45"/>
      <c r="K2" s="32"/>
      <c r="L2" s="32"/>
      <c r="M2" s="32"/>
    </row>
    <row r="3" spans="1:16" ht="18.75" x14ac:dyDescent="0.25">
      <c r="A3" s="29" t="s">
        <v>50</v>
      </c>
      <c r="B3" s="4"/>
      <c r="F3" s="115"/>
      <c r="G3" s="115"/>
      <c r="H3" s="115"/>
      <c r="I3" s="115"/>
      <c r="J3" s="45"/>
      <c r="K3" s="32"/>
      <c r="L3" s="32"/>
      <c r="M3" s="32"/>
    </row>
    <row r="4" spans="1:16" ht="46.5" customHeight="1" x14ac:dyDescent="0.25">
      <c r="A4" s="204" t="s">
        <v>155</v>
      </c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</row>
    <row r="5" spans="1:16" ht="5.25" customHeight="1" thickBot="1" x14ac:dyDescent="0.3">
      <c r="A5" s="1"/>
      <c r="B5" s="4"/>
      <c r="F5" s="115"/>
      <c r="G5" s="115"/>
      <c r="H5" s="115"/>
      <c r="I5" s="115"/>
      <c r="J5" s="45"/>
      <c r="K5" s="32"/>
      <c r="L5" s="32"/>
      <c r="M5" s="32"/>
    </row>
    <row r="6" spans="1:16" ht="16.5" thickBot="1" x14ac:dyDescent="0.3">
      <c r="A6" s="180" t="s">
        <v>32</v>
      </c>
      <c r="B6" s="181"/>
      <c r="C6" s="181"/>
      <c r="D6" s="181"/>
      <c r="E6" s="181"/>
      <c r="F6" s="186" t="s">
        <v>60</v>
      </c>
      <c r="G6" s="187"/>
      <c r="H6" s="115"/>
      <c r="I6" s="115"/>
      <c r="K6" s="33" t="s">
        <v>54</v>
      </c>
      <c r="L6" s="33"/>
      <c r="M6" s="33">
        <f>IF(F6="hebdomadaire",52,IF(F6="quincénaire",26,IF(F6="mensuel",12,IF(F6="trimestrielle (3mois)",4,IF(F6="semestre (6mois)",2,IF(F6="annuel",1,IF(F6="bimensuel (2mois)",6,1)))))))</f>
        <v>12</v>
      </c>
    </row>
    <row r="7" spans="1:16" ht="15.75" thickBot="1" x14ac:dyDescent="0.3">
      <c r="A7" s="1"/>
      <c r="B7" s="4"/>
      <c r="F7" s="115"/>
      <c r="G7" s="115"/>
      <c r="H7" s="115"/>
      <c r="I7" s="115"/>
      <c r="J7" s="45"/>
      <c r="K7" s="32"/>
      <c r="L7" s="32"/>
      <c r="M7" s="32"/>
    </row>
    <row r="8" spans="1:16" ht="18.75" x14ac:dyDescent="0.25">
      <c r="A8" s="179" t="s">
        <v>34</v>
      </c>
      <c r="B8" s="179"/>
      <c r="C8" s="179"/>
      <c r="D8" s="179"/>
      <c r="E8" s="179"/>
      <c r="F8" s="179"/>
      <c r="G8" s="179"/>
      <c r="H8" s="200" t="s">
        <v>74</v>
      </c>
      <c r="I8" s="201"/>
      <c r="J8" s="45"/>
      <c r="K8" s="34" t="s">
        <v>52</v>
      </c>
      <c r="L8" s="34" t="s">
        <v>51</v>
      </c>
      <c r="M8" s="34" t="s">
        <v>53</v>
      </c>
      <c r="N8" s="47" t="s">
        <v>72</v>
      </c>
      <c r="O8" s="43"/>
    </row>
    <row r="9" spans="1:16" x14ac:dyDescent="0.25">
      <c r="A9" s="6" t="s">
        <v>10</v>
      </c>
      <c r="B9" s="25" t="s">
        <v>28</v>
      </c>
      <c r="C9" s="6" t="s">
        <v>44</v>
      </c>
      <c r="D9" s="6" t="s">
        <v>3</v>
      </c>
      <c r="E9" s="6" t="s">
        <v>33</v>
      </c>
      <c r="F9" s="6" t="s">
        <v>3</v>
      </c>
      <c r="G9" s="6" t="s">
        <v>76</v>
      </c>
      <c r="H9" s="117" t="s">
        <v>75</v>
      </c>
      <c r="I9" s="118" t="s">
        <v>3</v>
      </c>
      <c r="J9" s="45"/>
      <c r="K9" s="35" t="s">
        <v>1</v>
      </c>
      <c r="L9" s="35" t="s">
        <v>1</v>
      </c>
      <c r="M9" s="35" t="s">
        <v>1</v>
      </c>
      <c r="N9" s="48"/>
    </row>
    <row r="10" spans="1:16" ht="14.45" customHeight="1" x14ac:dyDescent="0.25">
      <c r="A10" s="23"/>
      <c r="B10" s="24" t="s">
        <v>5</v>
      </c>
      <c r="C10" s="21"/>
      <c r="D10" s="21"/>
      <c r="E10" s="26"/>
      <c r="F10" s="26"/>
      <c r="G10" s="26"/>
      <c r="H10" s="119"/>
      <c r="I10" s="120"/>
      <c r="J10" s="45"/>
      <c r="K10" s="30"/>
      <c r="L10" s="30"/>
      <c r="M10" s="30"/>
      <c r="N10" s="49"/>
      <c r="O10" s="2"/>
    </row>
    <row r="11" spans="1:16" x14ac:dyDescent="0.25">
      <c r="A11" s="115" t="s">
        <v>18</v>
      </c>
      <c r="B11" s="9" t="s">
        <v>123</v>
      </c>
      <c r="C11" s="115">
        <v>0</v>
      </c>
      <c r="D11" s="115" t="s">
        <v>124</v>
      </c>
      <c r="E11" s="32">
        <v>0</v>
      </c>
      <c r="F11" s="115" t="s">
        <v>77</v>
      </c>
      <c r="G11" s="32">
        <f t="shared" ref="G11" si="0">C11*E11</f>
        <v>0</v>
      </c>
      <c r="H11" s="121">
        <f>G11</f>
        <v>0</v>
      </c>
      <c r="I11" s="141" t="s">
        <v>77</v>
      </c>
      <c r="J11" s="45"/>
      <c r="K11" s="32">
        <f t="shared" ref="K11" si="1">H11*$M$6</f>
        <v>0</v>
      </c>
      <c r="L11" s="32">
        <f t="shared" ref="L11" si="2">K11</f>
        <v>0</v>
      </c>
      <c r="M11" s="32">
        <f t="shared" ref="M11" si="3">L11</f>
        <v>0</v>
      </c>
      <c r="N11" s="46" t="s">
        <v>132</v>
      </c>
      <c r="O11" s="2"/>
    </row>
    <row r="12" spans="1:16" x14ac:dyDescent="0.25">
      <c r="A12" s="115" t="s">
        <v>18</v>
      </c>
      <c r="B12" s="9" t="s">
        <v>73</v>
      </c>
      <c r="C12" s="54">
        <f>1/6</f>
        <v>0.16666666666666666</v>
      </c>
      <c r="D12" s="115" t="s">
        <v>73</v>
      </c>
      <c r="E12" s="32">
        <v>1500</v>
      </c>
      <c r="F12" s="115" t="s">
        <v>77</v>
      </c>
      <c r="G12" s="32">
        <f t="shared" ref="G12" si="4">C12*E12</f>
        <v>250</v>
      </c>
      <c r="H12" s="121">
        <f>G12</f>
        <v>250</v>
      </c>
      <c r="I12" s="141" t="s">
        <v>77</v>
      </c>
      <c r="J12" s="45"/>
      <c r="K12" s="32">
        <f t="shared" ref="K12" si="5">H12*$M$6</f>
        <v>3000</v>
      </c>
      <c r="L12" s="32">
        <f t="shared" ref="L12:M12" si="6">K12</f>
        <v>3000</v>
      </c>
      <c r="M12" s="32">
        <f t="shared" si="6"/>
        <v>3000</v>
      </c>
      <c r="N12" s="46" t="s">
        <v>133</v>
      </c>
      <c r="O12" s="2"/>
    </row>
    <row r="13" spans="1:16" x14ac:dyDescent="0.25">
      <c r="A13" s="115"/>
      <c r="C13" s="115"/>
      <c r="D13" s="115"/>
      <c r="E13" s="32"/>
      <c r="F13" s="115"/>
      <c r="G13" s="32"/>
      <c r="H13" s="121"/>
      <c r="I13" s="141"/>
      <c r="J13" s="45"/>
      <c r="K13" s="32"/>
      <c r="L13" s="32"/>
      <c r="M13" s="32"/>
      <c r="O13" s="2"/>
    </row>
    <row r="14" spans="1:16" x14ac:dyDescent="0.25">
      <c r="A14" s="23"/>
      <c r="B14" s="24" t="s">
        <v>6</v>
      </c>
      <c r="C14" s="21"/>
      <c r="D14" s="21"/>
      <c r="E14" s="26"/>
      <c r="F14" s="26"/>
      <c r="G14" s="62" t="s">
        <v>84</v>
      </c>
      <c r="H14" s="123" t="s">
        <v>85</v>
      </c>
      <c r="I14" s="120"/>
      <c r="J14" s="45"/>
      <c r="K14" s="55"/>
      <c r="L14" s="30"/>
      <c r="M14" s="30"/>
      <c r="N14" s="49"/>
    </row>
    <row r="15" spans="1:16" x14ac:dyDescent="0.25">
      <c r="A15" s="115" t="s">
        <v>19</v>
      </c>
      <c r="B15" s="9" t="s">
        <v>100</v>
      </c>
      <c r="C15" s="115">
        <f>96*3</f>
        <v>288</v>
      </c>
      <c r="D15" s="115" t="s">
        <v>78</v>
      </c>
      <c r="E15" s="32">
        <v>20</v>
      </c>
      <c r="F15" s="115" t="s">
        <v>77</v>
      </c>
      <c r="G15" s="32">
        <f>C15*E15</f>
        <v>5760</v>
      </c>
      <c r="H15" s="124">
        <f>G15*52/12</f>
        <v>24960</v>
      </c>
      <c r="I15" s="141" t="s">
        <v>77</v>
      </c>
      <c r="J15" s="45"/>
      <c r="K15" s="32">
        <f>H15*$M$6</f>
        <v>299520</v>
      </c>
      <c r="L15" s="32">
        <f>K15</f>
        <v>299520</v>
      </c>
      <c r="M15" s="32">
        <f>L15</f>
        <v>299520</v>
      </c>
      <c r="N15" s="46" t="s">
        <v>97</v>
      </c>
      <c r="O15" s="43"/>
      <c r="P15" s="43"/>
    </row>
    <row r="16" spans="1:16" x14ac:dyDescent="0.25">
      <c r="A16" s="115" t="s">
        <v>20</v>
      </c>
      <c r="B16" s="9" t="s">
        <v>68</v>
      </c>
      <c r="C16" s="115">
        <f>120*3</f>
        <v>360</v>
      </c>
      <c r="D16" s="115" t="s">
        <v>78</v>
      </c>
      <c r="E16" s="32">
        <v>23</v>
      </c>
      <c r="F16" s="115" t="s">
        <v>77</v>
      </c>
      <c r="G16" s="32">
        <f t="shared" ref="G16:G21" si="7">C16*E16</f>
        <v>8280</v>
      </c>
      <c r="H16" s="124">
        <f t="shared" ref="H16:H21" si="8">G16*52/12</f>
        <v>35880</v>
      </c>
      <c r="I16" s="141" t="s">
        <v>77</v>
      </c>
      <c r="J16" s="45"/>
      <c r="K16" s="32">
        <f t="shared" ref="K16:K21" si="9">H16*$M$6</f>
        <v>430560</v>
      </c>
      <c r="L16" s="32">
        <f t="shared" ref="L16:M16" si="10">K16</f>
        <v>430560</v>
      </c>
      <c r="M16" s="32">
        <f t="shared" si="10"/>
        <v>430560</v>
      </c>
      <c r="N16" s="46" t="s">
        <v>103</v>
      </c>
      <c r="O16" s="43"/>
      <c r="P16" s="43"/>
    </row>
    <row r="17" spans="1:17" x14ac:dyDescent="0.25">
      <c r="A17" s="115" t="s">
        <v>21</v>
      </c>
      <c r="B17" s="9" t="s">
        <v>37</v>
      </c>
      <c r="C17" s="56">
        <v>3</v>
      </c>
      <c r="D17" s="115" t="s">
        <v>79</v>
      </c>
      <c r="E17" s="32">
        <v>1600</v>
      </c>
      <c r="F17" s="115" t="s">
        <v>77</v>
      </c>
      <c r="G17" s="32">
        <f t="shared" si="7"/>
        <v>4800</v>
      </c>
      <c r="H17" s="124">
        <f t="shared" si="8"/>
        <v>20800</v>
      </c>
      <c r="I17" s="141" t="s">
        <v>77</v>
      </c>
      <c r="J17" s="45"/>
      <c r="K17" s="32">
        <f t="shared" si="9"/>
        <v>249600</v>
      </c>
      <c r="L17" s="32">
        <f t="shared" ref="L17:M17" si="11">K17</f>
        <v>249600</v>
      </c>
      <c r="M17" s="32">
        <f t="shared" si="11"/>
        <v>249600</v>
      </c>
      <c r="N17" s="46" t="s">
        <v>98</v>
      </c>
      <c r="O17" s="72"/>
      <c r="P17" s="43"/>
    </row>
    <row r="18" spans="1:17" x14ac:dyDescent="0.25">
      <c r="A18" s="115" t="s">
        <v>22</v>
      </c>
      <c r="B18" s="9" t="s">
        <v>99</v>
      </c>
      <c r="C18" s="115">
        <v>1</v>
      </c>
      <c r="D18" s="115" t="s">
        <v>105</v>
      </c>
      <c r="E18" s="60">
        <f>ROUNDUP(SUM(C30:C31)*40/100*2,-1)</f>
        <v>520</v>
      </c>
      <c r="F18" s="115" t="s">
        <v>77</v>
      </c>
      <c r="G18" s="32">
        <f t="shared" si="7"/>
        <v>520</v>
      </c>
      <c r="H18" s="124">
        <f t="shared" si="8"/>
        <v>2253.3333333333335</v>
      </c>
      <c r="I18" s="141" t="s">
        <v>77</v>
      </c>
      <c r="J18" s="45"/>
      <c r="K18" s="32">
        <f t="shared" si="9"/>
        <v>27040</v>
      </c>
      <c r="L18" s="32">
        <f t="shared" ref="L18:M18" si="12">K18</f>
        <v>27040</v>
      </c>
      <c r="M18" s="32">
        <f t="shared" si="12"/>
        <v>27040</v>
      </c>
      <c r="N18" s="46" t="s">
        <v>96</v>
      </c>
      <c r="O18" s="72"/>
      <c r="P18" s="43"/>
    </row>
    <row r="19" spans="1:17" x14ac:dyDescent="0.25">
      <c r="A19" s="115" t="s">
        <v>70</v>
      </c>
      <c r="B19" s="9" t="s">
        <v>88</v>
      </c>
      <c r="C19" s="115">
        <v>5</v>
      </c>
      <c r="D19" s="115" t="s">
        <v>89</v>
      </c>
      <c r="E19" s="32">
        <v>2700</v>
      </c>
      <c r="F19" s="115" t="s">
        <v>77</v>
      </c>
      <c r="G19" s="32">
        <f t="shared" si="7"/>
        <v>13500</v>
      </c>
      <c r="H19" s="124">
        <f t="shared" si="8"/>
        <v>58500</v>
      </c>
      <c r="I19" s="141" t="s">
        <v>77</v>
      </c>
      <c r="J19" s="45"/>
      <c r="K19" s="32">
        <f t="shared" si="9"/>
        <v>702000</v>
      </c>
      <c r="L19" s="32">
        <f t="shared" ref="L19:M19" si="13">K19</f>
        <v>702000</v>
      </c>
      <c r="M19" s="32">
        <f t="shared" si="13"/>
        <v>702000</v>
      </c>
      <c r="N19" s="46" t="s">
        <v>127</v>
      </c>
      <c r="P19" s="43"/>
    </row>
    <row r="20" spans="1:17" x14ac:dyDescent="0.25">
      <c r="A20" s="115" t="s">
        <v>71</v>
      </c>
      <c r="B20" s="9" t="s">
        <v>90</v>
      </c>
      <c r="C20" s="115">
        <f>C19</f>
        <v>5</v>
      </c>
      <c r="D20" s="115" t="s">
        <v>91</v>
      </c>
      <c r="E20" s="32">
        <v>100</v>
      </c>
      <c r="F20" s="115" t="s">
        <v>77</v>
      </c>
      <c r="G20" s="32">
        <f t="shared" si="7"/>
        <v>500</v>
      </c>
      <c r="H20" s="124">
        <f t="shared" si="8"/>
        <v>2166.6666666666665</v>
      </c>
      <c r="I20" s="141" t="s">
        <v>77</v>
      </c>
      <c r="J20" s="45"/>
      <c r="K20" s="32">
        <f t="shared" si="9"/>
        <v>26000</v>
      </c>
      <c r="L20" s="32">
        <f t="shared" ref="L20:M20" si="14">K20</f>
        <v>26000</v>
      </c>
      <c r="M20" s="32">
        <f t="shared" si="14"/>
        <v>26000</v>
      </c>
      <c r="P20" s="43"/>
    </row>
    <row r="21" spans="1:17" x14ac:dyDescent="0.25">
      <c r="A21" s="115" t="s">
        <v>83</v>
      </c>
      <c r="B21" s="9" t="s">
        <v>102</v>
      </c>
      <c r="C21" s="115">
        <v>1</v>
      </c>
      <c r="D21" s="115" t="s">
        <v>105</v>
      </c>
      <c r="E21" s="60">
        <f>ROUNDUP(SUM(C32)*40/100*2,-1)</f>
        <v>80</v>
      </c>
      <c r="F21" s="115" t="s">
        <v>77</v>
      </c>
      <c r="G21" s="32">
        <f t="shared" si="7"/>
        <v>80</v>
      </c>
      <c r="H21" s="124">
        <f t="shared" si="8"/>
        <v>346.66666666666669</v>
      </c>
      <c r="I21" s="141" t="s">
        <v>77</v>
      </c>
      <c r="J21" s="45"/>
      <c r="K21" s="32">
        <f t="shared" si="9"/>
        <v>4160</v>
      </c>
      <c r="L21" s="32">
        <f t="shared" ref="L21:M21" si="15">K21</f>
        <v>4160</v>
      </c>
      <c r="M21" s="32">
        <f t="shared" si="15"/>
        <v>4160</v>
      </c>
      <c r="N21" s="46" t="s">
        <v>96</v>
      </c>
      <c r="O21" s="2"/>
      <c r="P21" s="43"/>
    </row>
    <row r="22" spans="1:17" x14ac:dyDescent="0.25">
      <c r="A22" s="115"/>
      <c r="C22" s="115"/>
      <c r="D22" s="115"/>
      <c r="E22" s="60"/>
      <c r="F22" s="115"/>
      <c r="G22" s="32"/>
      <c r="H22" s="124"/>
      <c r="I22" s="141"/>
      <c r="J22" s="45"/>
      <c r="K22" s="32"/>
      <c r="L22" s="32"/>
      <c r="M22" s="32"/>
      <c r="O22" s="2"/>
      <c r="P22" s="43"/>
    </row>
    <row r="23" spans="1:17" x14ac:dyDescent="0.25">
      <c r="A23" s="23"/>
      <c r="B23" s="126" t="s">
        <v>138</v>
      </c>
      <c r="C23" s="21"/>
      <c r="D23" s="21"/>
      <c r="E23" s="26"/>
      <c r="F23" s="26"/>
      <c r="G23" s="26"/>
      <c r="H23" s="119"/>
      <c r="I23" s="120"/>
      <c r="J23" s="45"/>
      <c r="K23" s="30"/>
      <c r="L23" s="30"/>
      <c r="M23" s="30"/>
      <c r="N23" s="49"/>
      <c r="O23" s="2"/>
    </row>
    <row r="24" spans="1:17" s="134" customFormat="1" x14ac:dyDescent="0.25">
      <c r="A24" s="127" t="s">
        <v>139</v>
      </c>
      <c r="B24" s="128" t="s">
        <v>123</v>
      </c>
      <c r="C24" s="127">
        <v>1</v>
      </c>
      <c r="D24" s="127" t="s">
        <v>137</v>
      </c>
      <c r="E24" s="129">
        <v>1000</v>
      </c>
      <c r="F24" s="127" t="s">
        <v>77</v>
      </c>
      <c r="G24" s="129">
        <f t="shared" ref="G24" si="16">C24*E24</f>
        <v>1000</v>
      </c>
      <c r="H24" s="130"/>
      <c r="I24" s="155" t="s">
        <v>77</v>
      </c>
      <c r="J24" s="171"/>
      <c r="K24" s="129">
        <f>H24*$M$6</f>
        <v>0</v>
      </c>
      <c r="L24" s="129">
        <f>E24*$M$6</f>
        <v>12000</v>
      </c>
      <c r="M24" s="129">
        <f t="shared" ref="M24" si="17">L24</f>
        <v>12000</v>
      </c>
      <c r="N24" s="133" t="s">
        <v>140</v>
      </c>
      <c r="P24" s="135"/>
    </row>
    <row r="25" spans="1:17" x14ac:dyDescent="0.25">
      <c r="A25" s="115"/>
      <c r="C25" s="115"/>
      <c r="D25" s="115"/>
      <c r="E25" s="32"/>
      <c r="F25" s="115"/>
      <c r="G25" s="32"/>
      <c r="H25" s="124"/>
      <c r="I25" s="141"/>
      <c r="J25" s="45"/>
      <c r="K25" s="32"/>
      <c r="L25" s="32"/>
      <c r="M25" s="32"/>
    </row>
    <row r="26" spans="1:17" s="7" customFormat="1" x14ac:dyDescent="0.25">
      <c r="A26" s="114" t="s">
        <v>7</v>
      </c>
      <c r="B26" s="176" t="s">
        <v>0</v>
      </c>
      <c r="C26" s="176"/>
      <c r="D26" s="176"/>
      <c r="E26" s="176"/>
      <c r="F26" s="176"/>
      <c r="G26" s="31">
        <f>SUM(G10:G25)</f>
        <v>34690</v>
      </c>
      <c r="H26" s="136">
        <f>SUM(H10:H25)</f>
        <v>145156.66666666663</v>
      </c>
      <c r="I26" s="137" t="s">
        <v>77</v>
      </c>
      <c r="J26" s="172"/>
      <c r="K26" s="31">
        <f>SUM(K10:K25)</f>
        <v>1741880</v>
      </c>
      <c r="L26" s="31">
        <f>SUM(L10:L25)</f>
        <v>1753880</v>
      </c>
      <c r="M26" s="31">
        <f>SUM(M10:M25)</f>
        <v>1753880</v>
      </c>
      <c r="N26" s="50"/>
      <c r="P26" s="74"/>
    </row>
    <row r="27" spans="1:17" x14ac:dyDescent="0.25">
      <c r="H27" s="144"/>
      <c r="I27" s="156"/>
      <c r="J27" s="45"/>
      <c r="K27" s="43"/>
    </row>
    <row r="28" spans="1:17" ht="18.75" x14ac:dyDescent="0.25">
      <c r="A28" s="179" t="s">
        <v>35</v>
      </c>
      <c r="B28" s="179"/>
      <c r="C28" s="179"/>
      <c r="D28" s="179"/>
      <c r="E28" s="179"/>
      <c r="F28" s="179"/>
      <c r="G28" s="179"/>
      <c r="H28" s="202" t="s">
        <v>74</v>
      </c>
      <c r="I28" s="203"/>
      <c r="J28" s="45"/>
      <c r="K28" s="34" t="s">
        <v>52</v>
      </c>
      <c r="L28" s="34" t="s">
        <v>51</v>
      </c>
      <c r="M28" s="34" t="s">
        <v>53</v>
      </c>
      <c r="N28" s="47" t="s">
        <v>72</v>
      </c>
    </row>
    <row r="29" spans="1:17" x14ac:dyDescent="0.25">
      <c r="A29" s="6" t="s">
        <v>11</v>
      </c>
      <c r="B29" s="6" t="s">
        <v>36</v>
      </c>
      <c r="C29" s="6" t="s">
        <v>44</v>
      </c>
      <c r="D29" s="6" t="s">
        <v>3</v>
      </c>
      <c r="E29" s="6" t="s">
        <v>38</v>
      </c>
      <c r="F29" s="6" t="s">
        <v>3</v>
      </c>
      <c r="G29" s="6" t="s">
        <v>76</v>
      </c>
      <c r="H29" s="117" t="s">
        <v>75</v>
      </c>
      <c r="I29" s="118" t="s">
        <v>3</v>
      </c>
      <c r="J29" s="45"/>
      <c r="K29" s="35" t="s">
        <v>1</v>
      </c>
      <c r="L29" s="35" t="s">
        <v>1</v>
      </c>
      <c r="M29" s="35" t="s">
        <v>1</v>
      </c>
      <c r="N29" s="48"/>
      <c r="P29" s="43"/>
    </row>
    <row r="30" spans="1:17" x14ac:dyDescent="0.25">
      <c r="A30" s="115" t="s">
        <v>23</v>
      </c>
      <c r="B30" s="9" t="s">
        <v>67</v>
      </c>
      <c r="C30" s="115">
        <f>C15</f>
        <v>288</v>
      </c>
      <c r="D30" s="115" t="str">
        <f>D15</f>
        <v>kg</v>
      </c>
      <c r="E30" s="32">
        <v>60</v>
      </c>
      <c r="F30" s="115" t="s">
        <v>77</v>
      </c>
      <c r="G30" s="32">
        <f>C30*E30</f>
        <v>17280</v>
      </c>
      <c r="H30" s="124">
        <f t="shared" ref="H30:H31" si="18">G30*52/12</f>
        <v>74880</v>
      </c>
      <c r="I30" s="141" t="s">
        <v>77</v>
      </c>
      <c r="J30" s="45"/>
      <c r="K30" s="32">
        <f t="shared" ref="K30:K31" si="19">H30*$M$6</f>
        <v>898560</v>
      </c>
      <c r="L30" s="32">
        <f t="shared" ref="L30:L31" si="20">K30</f>
        <v>898560</v>
      </c>
      <c r="M30" s="32">
        <f t="shared" ref="M30:M31" si="21">L30</f>
        <v>898560</v>
      </c>
      <c r="P30" s="43"/>
    </row>
    <row r="31" spans="1:17" s="11" customFormat="1" x14ac:dyDescent="0.25">
      <c r="A31" s="115" t="s">
        <v>24</v>
      </c>
      <c r="B31" s="9" t="s">
        <v>68</v>
      </c>
      <c r="C31" s="115">
        <f>C16</f>
        <v>360</v>
      </c>
      <c r="D31" s="115" t="str">
        <f>D16</f>
        <v>kg</v>
      </c>
      <c r="E31" s="32">
        <v>40</v>
      </c>
      <c r="F31" s="115" t="s">
        <v>77</v>
      </c>
      <c r="G31" s="32">
        <f t="shared" ref="G31:G32" si="22">C31*E31</f>
        <v>14400</v>
      </c>
      <c r="H31" s="124">
        <f t="shared" si="18"/>
        <v>62400</v>
      </c>
      <c r="I31" s="141" t="s">
        <v>77</v>
      </c>
      <c r="J31" s="45"/>
      <c r="K31" s="32">
        <f t="shared" si="19"/>
        <v>748800</v>
      </c>
      <c r="L31" s="32">
        <f t="shared" si="20"/>
        <v>748800</v>
      </c>
      <c r="M31" s="32">
        <f t="shared" si="21"/>
        <v>748800</v>
      </c>
      <c r="N31" s="46"/>
      <c r="P31" s="43"/>
      <c r="Q31" s="73"/>
    </row>
    <row r="32" spans="1:17" x14ac:dyDescent="0.25">
      <c r="A32" s="115" t="s">
        <v>25</v>
      </c>
      <c r="B32" s="9" t="s">
        <v>92</v>
      </c>
      <c r="C32" s="56">
        <f>(17+(20-17)/2)*C19</f>
        <v>92.5</v>
      </c>
      <c r="D32" s="115" t="s">
        <v>78</v>
      </c>
      <c r="E32" s="32">
        <v>200</v>
      </c>
      <c r="F32" s="115" t="s">
        <v>77</v>
      </c>
      <c r="G32" s="32">
        <f t="shared" si="22"/>
        <v>18500</v>
      </c>
      <c r="H32" s="124">
        <f>G32*52/12</f>
        <v>80166.666666666672</v>
      </c>
      <c r="I32" s="141" t="s">
        <v>77</v>
      </c>
      <c r="J32" s="45"/>
      <c r="K32" s="32">
        <f>H32*$M$6</f>
        <v>962000</v>
      </c>
      <c r="L32" s="32">
        <f t="shared" ref="L32:M32" si="23">K32</f>
        <v>962000</v>
      </c>
      <c r="M32" s="32">
        <f t="shared" si="23"/>
        <v>962000</v>
      </c>
      <c r="N32" s="46" t="s">
        <v>93</v>
      </c>
      <c r="Q32" s="43"/>
    </row>
    <row r="33" spans="1:17" x14ac:dyDescent="0.25">
      <c r="A33" s="115"/>
      <c r="C33" s="115"/>
      <c r="D33" s="115"/>
      <c r="E33" s="115"/>
      <c r="F33" s="115"/>
      <c r="G33" s="115"/>
      <c r="H33" s="140"/>
      <c r="I33" s="141"/>
      <c r="J33" s="45"/>
      <c r="K33" s="32"/>
      <c r="L33" s="32"/>
      <c r="M33" s="32"/>
    </row>
    <row r="34" spans="1:17" x14ac:dyDescent="0.25">
      <c r="A34" s="23"/>
      <c r="B34" s="126" t="s">
        <v>138</v>
      </c>
      <c r="C34" s="21"/>
      <c r="D34" s="21"/>
      <c r="E34" s="26"/>
      <c r="F34" s="26"/>
      <c r="G34" s="26"/>
      <c r="H34" s="119"/>
      <c r="I34" s="120"/>
      <c r="J34" s="45"/>
      <c r="K34" s="30"/>
      <c r="L34" s="30"/>
      <c r="M34" s="30"/>
      <c r="N34" s="49"/>
      <c r="O34" s="2"/>
    </row>
    <row r="35" spans="1:17" s="134" customFormat="1" x14ac:dyDescent="0.25">
      <c r="A35" s="127" t="s">
        <v>141</v>
      </c>
      <c r="B35" s="128" t="s">
        <v>142</v>
      </c>
      <c r="C35" s="127">
        <v>1</v>
      </c>
      <c r="D35" s="127" t="s">
        <v>105</v>
      </c>
      <c r="E35" s="129">
        <f>(SUM(H30:H32)-SUM(H15:H21))*0.15</f>
        <v>10881.000000000009</v>
      </c>
      <c r="F35" s="127" t="s">
        <v>77</v>
      </c>
      <c r="G35" s="129">
        <f t="shared" ref="G35:G37" si="24">C35*E35</f>
        <v>10881.000000000009</v>
      </c>
      <c r="H35" s="130"/>
      <c r="I35" s="131" t="s">
        <v>77</v>
      </c>
      <c r="J35" s="171"/>
      <c r="K35" s="129">
        <f>H35*$M$6</f>
        <v>0</v>
      </c>
      <c r="L35" s="129">
        <f>G35*$M$6</f>
        <v>130572.00000000012</v>
      </c>
      <c r="M35" s="129">
        <f t="shared" ref="M35:M36" si="25">L35</f>
        <v>130572.00000000012</v>
      </c>
      <c r="N35" s="133" t="s">
        <v>143</v>
      </c>
      <c r="P35" s="135"/>
    </row>
    <row r="36" spans="1:17" s="142" customFormat="1" x14ac:dyDescent="0.25">
      <c r="A36" s="127" t="s">
        <v>144</v>
      </c>
      <c r="B36" s="128" t="s">
        <v>162</v>
      </c>
      <c r="C36" s="127">
        <v>1</v>
      </c>
      <c r="D36" s="127" t="s">
        <v>105</v>
      </c>
      <c r="E36" s="129">
        <v>12000</v>
      </c>
      <c r="F36" s="127" t="s">
        <v>77</v>
      </c>
      <c r="G36" s="129">
        <f t="shared" si="24"/>
        <v>12000</v>
      </c>
      <c r="H36" s="130"/>
      <c r="I36" s="131" t="s">
        <v>77</v>
      </c>
      <c r="J36" s="171"/>
      <c r="K36" s="129">
        <f>H36*$M$6</f>
        <v>0</v>
      </c>
      <c r="L36" s="129">
        <f>G36*$M$6</f>
        <v>144000</v>
      </c>
      <c r="M36" s="129">
        <f t="shared" si="25"/>
        <v>144000</v>
      </c>
      <c r="N36" s="133"/>
      <c r="P36" s="135"/>
      <c r="Q36" s="143"/>
    </row>
    <row r="37" spans="1:17" s="134" customFormat="1" x14ac:dyDescent="0.25">
      <c r="A37" s="127" t="s">
        <v>146</v>
      </c>
      <c r="B37" s="128" t="s">
        <v>163</v>
      </c>
      <c r="C37" s="127">
        <v>1</v>
      </c>
      <c r="D37" s="127" t="s">
        <v>105</v>
      </c>
      <c r="E37" s="129">
        <v>12000</v>
      </c>
      <c r="F37" s="127" t="s">
        <v>77</v>
      </c>
      <c r="G37" s="129">
        <f t="shared" si="24"/>
        <v>12000</v>
      </c>
      <c r="H37" s="130"/>
      <c r="I37" s="131" t="s">
        <v>77</v>
      </c>
      <c r="J37" s="171"/>
      <c r="K37" s="129">
        <f>H37*$M$6</f>
        <v>0</v>
      </c>
      <c r="L37" s="129">
        <v>0</v>
      </c>
      <c r="M37" s="129">
        <f>G37*$M$6</f>
        <v>144000</v>
      </c>
      <c r="N37" s="133"/>
      <c r="Q37" s="135"/>
    </row>
    <row r="38" spans="1:17" x14ac:dyDescent="0.25">
      <c r="A38" s="115"/>
      <c r="C38" s="56"/>
      <c r="D38" s="115"/>
      <c r="E38" s="32"/>
      <c r="F38" s="115"/>
      <c r="G38" s="32"/>
      <c r="H38" s="124"/>
      <c r="I38" s="125"/>
      <c r="J38" s="45"/>
      <c r="K38" s="32"/>
      <c r="L38" s="32"/>
      <c r="M38" s="32"/>
      <c r="Q38" s="43"/>
    </row>
    <row r="39" spans="1:17" s="7" customFormat="1" x14ac:dyDescent="0.25">
      <c r="A39" s="114" t="s">
        <v>12</v>
      </c>
      <c r="B39" s="176" t="s">
        <v>0</v>
      </c>
      <c r="C39" s="176"/>
      <c r="D39" s="176"/>
      <c r="E39" s="176"/>
      <c r="F39" s="176"/>
      <c r="G39" s="31">
        <f>SUM(G30:G33)</f>
        <v>50180</v>
      </c>
      <c r="H39" s="136">
        <f>SUM(H30:H38)</f>
        <v>217446.66666666669</v>
      </c>
      <c r="I39" s="137" t="s">
        <v>77</v>
      </c>
      <c r="J39" s="172"/>
      <c r="K39" s="31">
        <f>SUM(K30:K38)</f>
        <v>2609360</v>
      </c>
      <c r="L39" s="31">
        <f>SUM(L30:L38)</f>
        <v>2883932</v>
      </c>
      <c r="M39" s="31">
        <f>SUM(M30:M38)</f>
        <v>3027932</v>
      </c>
      <c r="N39" s="50"/>
    </row>
    <row r="40" spans="1:17" x14ac:dyDescent="0.25">
      <c r="H40" s="138"/>
      <c r="I40" s="139"/>
      <c r="J40" s="45"/>
    </row>
    <row r="41" spans="1:17" ht="18.75" x14ac:dyDescent="0.25">
      <c r="A41" s="179" t="s">
        <v>45</v>
      </c>
      <c r="B41" s="179"/>
      <c r="C41" s="179"/>
      <c r="D41" s="179"/>
      <c r="E41" s="179"/>
      <c r="F41" s="179"/>
      <c r="G41" s="179"/>
      <c r="H41" s="202" t="s">
        <v>74</v>
      </c>
      <c r="I41" s="203"/>
      <c r="J41" s="45"/>
      <c r="K41" s="34" t="s">
        <v>52</v>
      </c>
      <c r="L41" s="34" t="s">
        <v>51</v>
      </c>
      <c r="M41" s="34" t="s">
        <v>53</v>
      </c>
      <c r="N41" s="51"/>
    </row>
    <row r="42" spans="1:17" x14ac:dyDescent="0.25">
      <c r="A42" s="8" t="s">
        <v>7</v>
      </c>
      <c r="B42" s="197" t="s">
        <v>26</v>
      </c>
      <c r="C42" s="197"/>
      <c r="D42" s="197"/>
      <c r="E42" s="197"/>
      <c r="F42" s="197"/>
      <c r="G42" s="32"/>
      <c r="H42" s="121">
        <f>H26</f>
        <v>145156.66666666663</v>
      </c>
      <c r="I42" s="122" t="s">
        <v>77</v>
      </c>
      <c r="J42" s="45"/>
      <c r="K42" s="32">
        <f>K26</f>
        <v>1741880</v>
      </c>
      <c r="L42" s="32">
        <f>L26</f>
        <v>1753880</v>
      </c>
      <c r="M42" s="32">
        <f>M26</f>
        <v>1753880</v>
      </c>
    </row>
    <row r="43" spans="1:17" x14ac:dyDescent="0.25">
      <c r="A43" s="8" t="s">
        <v>12</v>
      </c>
      <c r="B43" s="197" t="s">
        <v>46</v>
      </c>
      <c r="C43" s="197"/>
      <c r="D43" s="197"/>
      <c r="E43" s="197"/>
      <c r="F43" s="197"/>
      <c r="G43" s="32"/>
      <c r="H43" s="121">
        <f>H39</f>
        <v>217446.66666666669</v>
      </c>
      <c r="I43" s="122" t="s">
        <v>77</v>
      </c>
      <c r="J43" s="45"/>
      <c r="K43" s="32">
        <f>K39</f>
        <v>2609360</v>
      </c>
      <c r="L43" s="32">
        <f>L39</f>
        <v>2883932</v>
      </c>
      <c r="M43" s="32">
        <f>M39</f>
        <v>3027932</v>
      </c>
      <c r="P43" s="43"/>
    </row>
    <row r="44" spans="1:17" s="7" customFormat="1" x14ac:dyDescent="0.25">
      <c r="A44" s="22"/>
      <c r="B44" s="196" t="s">
        <v>62</v>
      </c>
      <c r="C44" s="196"/>
      <c r="D44" s="196"/>
      <c r="E44" s="196"/>
      <c r="F44" s="196"/>
      <c r="G44" s="31"/>
      <c r="H44" s="136">
        <f>H43-H42</f>
        <v>72290.000000000058</v>
      </c>
      <c r="I44" s="137" t="s">
        <v>77</v>
      </c>
      <c r="J44" s="172"/>
      <c r="K44" s="31">
        <f>K43-K42</f>
        <v>867480</v>
      </c>
      <c r="L44" s="31">
        <f>L43-L42</f>
        <v>1130052</v>
      </c>
      <c r="M44" s="31">
        <f>M43-M42</f>
        <v>1274052</v>
      </c>
      <c r="N44" s="50"/>
    </row>
    <row r="45" spans="1:17" x14ac:dyDescent="0.25">
      <c r="A45" s="41" t="s">
        <v>9</v>
      </c>
      <c r="B45" s="198" t="s">
        <v>27</v>
      </c>
      <c r="C45" s="198"/>
      <c r="D45" s="198"/>
      <c r="E45" s="198"/>
      <c r="F45" s="198"/>
      <c r="G45" s="42"/>
      <c r="H45" s="145"/>
      <c r="I45" s="146"/>
      <c r="J45" s="45"/>
      <c r="K45" s="32"/>
      <c r="L45" s="42">
        <f>'Info general'!H23</f>
        <v>12190</v>
      </c>
      <c r="M45" s="42">
        <f>+'Info general'!H23+'Info general'!H31</f>
        <v>13540</v>
      </c>
      <c r="N45" s="52"/>
    </row>
    <row r="46" spans="1:17" s="7" customFormat="1" ht="15.75" thickBot="1" x14ac:dyDescent="0.3">
      <c r="A46" s="22"/>
      <c r="B46" s="196" t="s">
        <v>63</v>
      </c>
      <c r="C46" s="196"/>
      <c r="D46" s="196"/>
      <c r="E46" s="196"/>
      <c r="F46" s="196"/>
      <c r="G46" s="31"/>
      <c r="H46" s="147">
        <f>H44</f>
        <v>72290.000000000058</v>
      </c>
      <c r="I46" s="148" t="s">
        <v>77</v>
      </c>
      <c r="J46" s="172"/>
      <c r="K46" s="31">
        <f>K44-K45</f>
        <v>867480</v>
      </c>
      <c r="L46" s="31">
        <f t="shared" ref="L46:M46" si="26">L44-L45</f>
        <v>1117862</v>
      </c>
      <c r="M46" s="31">
        <f t="shared" si="26"/>
        <v>1260512</v>
      </c>
      <c r="N46" s="50"/>
    </row>
    <row r="47" spans="1:17" x14ac:dyDescent="0.25">
      <c r="J47" s="45"/>
    </row>
    <row r="48" spans="1:17" ht="19.5" thickBot="1" x14ac:dyDescent="0.3">
      <c r="A48" s="29"/>
      <c r="B48" s="4"/>
      <c r="F48" s="116"/>
      <c r="G48" s="116"/>
      <c r="H48" s="116"/>
      <c r="I48" s="116"/>
      <c r="J48" s="45"/>
      <c r="K48" s="32"/>
      <c r="L48" s="32"/>
      <c r="M48" s="32"/>
    </row>
    <row r="49" spans="1:16" s="159" customFormat="1" ht="15.75" x14ac:dyDescent="0.25">
      <c r="A49" s="192" t="s">
        <v>161</v>
      </c>
      <c r="B49" s="199"/>
      <c r="C49" s="199"/>
      <c r="D49" s="199"/>
      <c r="E49" s="199"/>
      <c r="F49" s="199"/>
      <c r="G49" s="199"/>
      <c r="H49" s="192" t="s">
        <v>74</v>
      </c>
      <c r="I49" s="193"/>
      <c r="J49" s="174"/>
      <c r="K49" s="160" t="s">
        <v>52</v>
      </c>
      <c r="L49" s="161" t="s">
        <v>51</v>
      </c>
      <c r="M49" s="170" t="s">
        <v>53</v>
      </c>
      <c r="N49" s="46"/>
    </row>
    <row r="50" spans="1:16" x14ac:dyDescent="0.25">
      <c r="A50" s="166" t="s">
        <v>9</v>
      </c>
      <c r="B50" s="194" t="s">
        <v>157</v>
      </c>
      <c r="C50" s="194"/>
      <c r="D50" s="194"/>
      <c r="E50" s="194"/>
      <c r="F50" s="194"/>
      <c r="G50" s="167"/>
      <c r="H50" s="168"/>
      <c r="I50" s="169"/>
      <c r="J50" s="173"/>
      <c r="K50" s="168">
        <f>'Info general'!F23</f>
        <v>69900</v>
      </c>
      <c r="L50" s="167">
        <f>'Info general'!F31</f>
        <v>13500</v>
      </c>
      <c r="M50" s="169"/>
    </row>
    <row r="51" spans="1:16" x14ac:dyDescent="0.25">
      <c r="A51" s="166" t="s">
        <v>9</v>
      </c>
      <c r="B51" s="194" t="s">
        <v>27</v>
      </c>
      <c r="C51" s="194"/>
      <c r="D51" s="194"/>
      <c r="E51" s="194"/>
      <c r="F51" s="194"/>
      <c r="G51" s="167"/>
      <c r="H51" s="168"/>
      <c r="I51" s="169"/>
      <c r="J51" s="173"/>
      <c r="K51" s="168"/>
      <c r="L51" s="167">
        <f>'Info general'!H23</f>
        <v>12190</v>
      </c>
      <c r="M51" s="169">
        <f>'Info general'!H23+'Info general'!H31</f>
        <v>13540</v>
      </c>
      <c r="P51" s="43"/>
    </row>
    <row r="52" spans="1:16" x14ac:dyDescent="0.25">
      <c r="A52" s="166" t="s">
        <v>7</v>
      </c>
      <c r="B52" s="194" t="s">
        <v>158</v>
      </c>
      <c r="C52" s="194"/>
      <c r="D52" s="194"/>
      <c r="E52" s="194"/>
      <c r="F52" s="194"/>
      <c r="G52" s="167"/>
      <c r="H52" s="168">
        <f>H12</f>
        <v>250</v>
      </c>
      <c r="I52" s="169" t="s">
        <v>77</v>
      </c>
      <c r="J52" s="173"/>
      <c r="K52" s="168">
        <f>K12</f>
        <v>3000</v>
      </c>
      <c r="L52" s="167">
        <f>L12</f>
        <v>3000</v>
      </c>
      <c r="M52" s="169">
        <f>M12</f>
        <v>3000</v>
      </c>
      <c r="P52" s="43"/>
    </row>
    <row r="53" spans="1:16" x14ac:dyDescent="0.25">
      <c r="A53" s="166" t="s">
        <v>7</v>
      </c>
      <c r="B53" s="194" t="s">
        <v>159</v>
      </c>
      <c r="C53" s="194"/>
      <c r="D53" s="194"/>
      <c r="E53" s="194"/>
      <c r="F53" s="194"/>
      <c r="G53" s="167"/>
      <c r="H53" s="168">
        <f>H26-H52</f>
        <v>144906.66666666663</v>
      </c>
      <c r="I53" s="169" t="s">
        <v>77</v>
      </c>
      <c r="J53" s="173"/>
      <c r="K53" s="168">
        <f>K26-K52</f>
        <v>1738880</v>
      </c>
      <c r="L53" s="167">
        <f>L26-L52</f>
        <v>1750880</v>
      </c>
      <c r="M53" s="169">
        <f>M26-M52</f>
        <v>1750880</v>
      </c>
      <c r="P53" s="43"/>
    </row>
    <row r="54" spans="1:16" x14ac:dyDescent="0.25">
      <c r="A54" s="166" t="s">
        <v>12</v>
      </c>
      <c r="B54" s="194" t="s">
        <v>160</v>
      </c>
      <c r="C54" s="194"/>
      <c r="D54" s="194"/>
      <c r="E54" s="194"/>
      <c r="F54" s="194"/>
      <c r="G54" s="167"/>
      <c r="H54" s="168">
        <f>H39</f>
        <v>217446.66666666669</v>
      </c>
      <c r="I54" s="169" t="s">
        <v>77</v>
      </c>
      <c r="J54" s="173"/>
      <c r="K54" s="168">
        <f t="shared" ref="K54:M54" si="27">K39</f>
        <v>2609360</v>
      </c>
      <c r="L54" s="167">
        <f t="shared" si="27"/>
        <v>2883932</v>
      </c>
      <c r="M54" s="169">
        <f t="shared" si="27"/>
        <v>3027932</v>
      </c>
      <c r="P54" s="43"/>
    </row>
    <row r="55" spans="1:16" s="157" customFormat="1" ht="16.5" thickBot="1" x14ac:dyDescent="0.3">
      <c r="A55" s="162"/>
      <c r="B55" s="195" t="s">
        <v>63</v>
      </c>
      <c r="C55" s="195"/>
      <c r="D55" s="195"/>
      <c r="E55" s="195"/>
      <c r="F55" s="195"/>
      <c r="G55" s="163"/>
      <c r="H55" s="164">
        <f>H54-H53-H52</f>
        <v>72290.000000000058</v>
      </c>
      <c r="I55" s="165" t="s">
        <v>77</v>
      </c>
      <c r="J55" s="175"/>
      <c r="K55" s="164">
        <f t="shared" ref="K55" si="28">K54-K53-K52</f>
        <v>867480</v>
      </c>
      <c r="L55" s="163">
        <f>L54-L53-L52-L51-L50</f>
        <v>1104362</v>
      </c>
      <c r="M55" s="165">
        <f>M54-M53-M52-M51-M50</f>
        <v>1260512</v>
      </c>
      <c r="N55" s="46"/>
      <c r="P55" s="158"/>
    </row>
    <row r="56" spans="1:16" x14ac:dyDescent="0.25">
      <c r="J56" s="45"/>
    </row>
    <row r="57" spans="1:16" x14ac:dyDescent="0.25">
      <c r="J57" s="45"/>
    </row>
    <row r="58" spans="1:16" x14ac:dyDescent="0.25">
      <c r="J58" s="45"/>
    </row>
    <row r="59" spans="1:16" x14ac:dyDescent="0.25">
      <c r="A59" s="11"/>
      <c r="B59" s="11"/>
      <c r="J59" s="45"/>
    </row>
    <row r="60" spans="1:16" x14ac:dyDescent="0.25">
      <c r="A60" s="11"/>
      <c r="B60" s="11"/>
      <c r="J60" s="45"/>
    </row>
    <row r="61" spans="1:16" x14ac:dyDescent="0.25">
      <c r="A61" s="11"/>
      <c r="B61" s="11"/>
      <c r="J61" s="45"/>
    </row>
    <row r="62" spans="1:16" x14ac:dyDescent="0.25">
      <c r="A62" s="11"/>
      <c r="B62" s="11"/>
      <c r="J62" s="45"/>
    </row>
    <row r="63" spans="1:16" x14ac:dyDescent="0.25">
      <c r="A63" s="11"/>
      <c r="B63" s="11"/>
      <c r="J63" s="45"/>
    </row>
    <row r="64" spans="1:16" x14ac:dyDescent="0.25">
      <c r="B64" s="11"/>
      <c r="J64" s="45"/>
    </row>
    <row r="65" spans="10:10" x14ac:dyDescent="0.25">
      <c r="J65" s="45"/>
    </row>
    <row r="66" spans="10:10" x14ac:dyDescent="0.25">
      <c r="J66" s="45"/>
    </row>
    <row r="67" spans="10:10" x14ac:dyDescent="0.25">
      <c r="J67" s="45"/>
    </row>
    <row r="68" spans="10:10" x14ac:dyDescent="0.25">
      <c r="J68" s="45"/>
    </row>
    <row r="69" spans="10:10" x14ac:dyDescent="0.25">
      <c r="J69" s="45"/>
    </row>
    <row r="70" spans="10:10" x14ac:dyDescent="0.25">
      <c r="J70" s="45"/>
    </row>
    <row r="71" spans="10:10" x14ac:dyDescent="0.25">
      <c r="J71" s="45"/>
    </row>
  </sheetData>
  <mergeCells count="24">
    <mergeCell ref="H8:I8"/>
    <mergeCell ref="H41:I41"/>
    <mergeCell ref="H28:I28"/>
    <mergeCell ref="A4:M4"/>
    <mergeCell ref="B39:F39"/>
    <mergeCell ref="A6:E6"/>
    <mergeCell ref="F6:G6"/>
    <mergeCell ref="A8:G8"/>
    <mergeCell ref="B26:F26"/>
    <mergeCell ref="A28:G28"/>
    <mergeCell ref="B55:F55"/>
    <mergeCell ref="B54:F54"/>
    <mergeCell ref="B46:F46"/>
    <mergeCell ref="A41:G41"/>
    <mergeCell ref="B42:F42"/>
    <mergeCell ref="B43:F43"/>
    <mergeCell ref="B44:F44"/>
    <mergeCell ref="B45:F45"/>
    <mergeCell ref="A49:G49"/>
    <mergeCell ref="H49:I49"/>
    <mergeCell ref="B50:F50"/>
    <mergeCell ref="B51:F51"/>
    <mergeCell ref="B52:F52"/>
    <mergeCell ref="B53:F53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'Info general'!$J$7:$J$15</xm:f>
          </x14:formula1>
          <xm:sqref>F6:G6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0570E-2045-4306-85B5-1E338964B334}">
  <sheetPr>
    <pageSetUpPr fitToPage="1"/>
  </sheetPr>
  <dimension ref="A1:Q74"/>
  <sheetViews>
    <sheetView zoomScale="85" zoomScaleNormal="85" zoomScalePageLayoutView="85" workbookViewId="0">
      <pane ySplit="8" topLeftCell="A9" activePane="bottomLeft" state="frozen"/>
      <selection pane="bottomLeft" activeCell="N57" sqref="N57"/>
    </sheetView>
  </sheetViews>
  <sheetFormatPr baseColWidth="10" defaultColWidth="10.85546875" defaultRowHeight="15" x14ac:dyDescent="0.25"/>
  <cols>
    <col min="1" max="1" width="10.140625" style="9" customWidth="1"/>
    <col min="2" max="2" width="40.42578125" style="9" customWidth="1"/>
    <col min="3" max="6" width="14.7109375" style="9" customWidth="1"/>
    <col min="7" max="7" width="16.28515625" style="9" customWidth="1"/>
    <col min="8" max="9" width="14.7109375" style="9" customWidth="1"/>
    <col min="10" max="10" width="3.42578125" style="9" customWidth="1"/>
    <col min="11" max="13" width="14.7109375" style="36" customWidth="1"/>
    <col min="14" max="14" width="46.5703125" style="46" bestFit="1" customWidth="1"/>
    <col min="15" max="15" width="19.7109375" style="9" customWidth="1"/>
    <col min="16" max="16384" width="10.85546875" style="9"/>
  </cols>
  <sheetData>
    <row r="1" spans="1:15" ht="28.5" x14ac:dyDescent="0.25">
      <c r="A1" s="28" t="s">
        <v>39</v>
      </c>
      <c r="B1" s="4"/>
      <c r="C1" s="5"/>
      <c r="D1" s="5"/>
      <c r="F1" s="115"/>
      <c r="G1" s="115"/>
      <c r="H1" s="115"/>
      <c r="I1" s="115"/>
      <c r="J1" s="115"/>
      <c r="K1" s="32"/>
      <c r="L1" s="32"/>
      <c r="M1" s="32"/>
    </row>
    <row r="2" spans="1:15" x14ac:dyDescent="0.25">
      <c r="A2" s="1"/>
      <c r="B2" s="7"/>
      <c r="C2" s="5"/>
      <c r="D2" s="5"/>
      <c r="F2" s="115"/>
      <c r="G2" s="115"/>
      <c r="H2" s="115"/>
      <c r="I2" s="115"/>
      <c r="J2" s="115"/>
      <c r="K2" s="32"/>
      <c r="L2" s="32"/>
      <c r="M2" s="32"/>
    </row>
    <row r="3" spans="1:15" ht="18.75" x14ac:dyDescent="0.25">
      <c r="A3" s="29" t="s">
        <v>50</v>
      </c>
      <c r="B3" s="4"/>
      <c r="F3" s="115"/>
      <c r="G3" s="115"/>
      <c r="H3" s="115"/>
      <c r="I3" s="115"/>
      <c r="J3" s="115"/>
      <c r="K3" s="32"/>
      <c r="L3" s="32"/>
      <c r="M3" s="32"/>
    </row>
    <row r="4" spans="1:15" ht="46.5" customHeight="1" x14ac:dyDescent="0.25">
      <c r="A4" s="204" t="s">
        <v>156</v>
      </c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</row>
    <row r="5" spans="1:15" ht="5.25" customHeight="1" x14ac:dyDescent="0.25">
      <c r="A5" s="1"/>
      <c r="B5" s="4"/>
      <c r="F5" s="115"/>
      <c r="G5" s="115"/>
      <c r="H5" s="115"/>
      <c r="I5" s="115"/>
      <c r="J5" s="115"/>
      <c r="K5" s="32"/>
      <c r="L5" s="32"/>
      <c r="M5" s="32"/>
    </row>
    <row r="6" spans="1:15" ht="15" customHeight="1" x14ac:dyDescent="0.25">
      <c r="A6" s="205" t="s">
        <v>134</v>
      </c>
      <c r="B6" s="205"/>
      <c r="C6" s="205"/>
      <c r="D6" s="205"/>
      <c r="E6" s="205"/>
      <c r="F6" s="205"/>
      <c r="G6" s="205"/>
      <c r="H6" s="205"/>
      <c r="I6" s="205"/>
      <c r="J6" s="115"/>
      <c r="K6" s="32"/>
      <c r="L6" s="32"/>
      <c r="M6" s="32"/>
      <c r="O6" s="2"/>
    </row>
    <row r="7" spans="1:15" ht="5.25" customHeight="1" thickBot="1" x14ac:dyDescent="0.3">
      <c r="A7" s="1"/>
      <c r="B7" s="4"/>
      <c r="F7" s="115"/>
      <c r="G7" s="115"/>
      <c r="H7" s="115"/>
      <c r="I7" s="115"/>
      <c r="J7" s="115"/>
      <c r="K7" s="32"/>
      <c r="L7" s="32"/>
      <c r="M7" s="32"/>
    </row>
    <row r="8" spans="1:15" ht="16.5" thickBot="1" x14ac:dyDescent="0.3">
      <c r="A8" s="180" t="s">
        <v>32</v>
      </c>
      <c r="B8" s="181"/>
      <c r="C8" s="181"/>
      <c r="D8" s="181"/>
      <c r="E8" s="181"/>
      <c r="F8" s="186" t="s">
        <v>60</v>
      </c>
      <c r="G8" s="187"/>
      <c r="H8" s="115"/>
      <c r="I8" s="115"/>
      <c r="K8" s="33" t="s">
        <v>54</v>
      </c>
      <c r="L8" s="33"/>
      <c r="M8" s="33">
        <f>IF(F8="hebdomadaire",52,IF(F8="quincénaire",26,IF(F8="mensuel",12,IF(F8="trimestrielle (3mois)",4,IF(F8="semestre (6mois)",2,IF(F8="annuel",1,IF(F8="bimensuel (2mois)",6,1)))))))</f>
        <v>12</v>
      </c>
    </row>
    <row r="9" spans="1:15" ht="15.75" thickBot="1" x14ac:dyDescent="0.3">
      <c r="A9" s="1"/>
      <c r="B9" s="4"/>
      <c r="F9" s="115"/>
      <c r="G9" s="115"/>
      <c r="H9" s="115"/>
      <c r="I9" s="115"/>
      <c r="J9" s="115"/>
      <c r="K9" s="32"/>
      <c r="L9" s="32"/>
      <c r="M9" s="32"/>
    </row>
    <row r="10" spans="1:15" ht="18.75" x14ac:dyDescent="0.25">
      <c r="A10" s="179" t="s">
        <v>34</v>
      </c>
      <c r="B10" s="179"/>
      <c r="C10" s="179"/>
      <c r="D10" s="179"/>
      <c r="E10" s="179"/>
      <c r="F10" s="179"/>
      <c r="G10" s="179"/>
      <c r="H10" s="200" t="s">
        <v>74</v>
      </c>
      <c r="I10" s="201"/>
      <c r="J10" s="115"/>
      <c r="K10" s="34" t="s">
        <v>52</v>
      </c>
      <c r="L10" s="34" t="s">
        <v>51</v>
      </c>
      <c r="M10" s="34" t="s">
        <v>53</v>
      </c>
      <c r="N10" s="47" t="s">
        <v>72</v>
      </c>
      <c r="O10" s="43"/>
    </row>
    <row r="11" spans="1:15" x14ac:dyDescent="0.25">
      <c r="A11" s="6" t="s">
        <v>10</v>
      </c>
      <c r="B11" s="25" t="s">
        <v>28</v>
      </c>
      <c r="C11" s="6" t="s">
        <v>44</v>
      </c>
      <c r="D11" s="6" t="s">
        <v>3</v>
      </c>
      <c r="E11" s="6" t="s">
        <v>33</v>
      </c>
      <c r="F11" s="6" t="s">
        <v>3</v>
      </c>
      <c r="G11" s="6" t="s">
        <v>76</v>
      </c>
      <c r="H11" s="117" t="s">
        <v>75</v>
      </c>
      <c r="I11" s="118" t="s">
        <v>3</v>
      </c>
      <c r="J11" s="115"/>
      <c r="K11" s="35" t="s">
        <v>1</v>
      </c>
      <c r="L11" s="35" t="s">
        <v>1</v>
      </c>
      <c r="M11" s="35" t="s">
        <v>1</v>
      </c>
      <c r="N11" s="48"/>
    </row>
    <row r="12" spans="1:15" ht="14.45" customHeight="1" x14ac:dyDescent="0.25">
      <c r="A12" s="23"/>
      <c r="B12" s="24" t="s">
        <v>5</v>
      </c>
      <c r="C12" s="21"/>
      <c r="D12" s="21"/>
      <c r="E12" s="26"/>
      <c r="F12" s="26"/>
      <c r="G12" s="26"/>
      <c r="H12" s="119"/>
      <c r="I12" s="120"/>
      <c r="J12" s="115"/>
      <c r="K12" s="30"/>
      <c r="L12" s="30"/>
      <c r="M12" s="30"/>
      <c r="N12" s="49"/>
      <c r="O12" s="2"/>
    </row>
    <row r="13" spans="1:15" x14ac:dyDescent="0.25">
      <c r="A13" s="115" t="s">
        <v>18</v>
      </c>
      <c r="B13" s="9" t="s">
        <v>123</v>
      </c>
      <c r="C13" s="115">
        <v>0</v>
      </c>
      <c r="D13" s="115" t="s">
        <v>124</v>
      </c>
      <c r="E13" s="32">
        <v>0</v>
      </c>
      <c r="F13" s="115" t="s">
        <v>77</v>
      </c>
      <c r="G13" s="32">
        <f t="shared" ref="G13:G14" si="0">C13*E13</f>
        <v>0</v>
      </c>
      <c r="H13" s="121">
        <f>G13</f>
        <v>0</v>
      </c>
      <c r="I13" s="141" t="s">
        <v>77</v>
      </c>
      <c r="J13" s="115"/>
      <c r="K13" s="32">
        <f t="shared" ref="K13:K14" si="1">H13*$M$8</f>
        <v>0</v>
      </c>
      <c r="L13" s="32">
        <f t="shared" ref="L13:M14" si="2">K13</f>
        <v>0</v>
      </c>
      <c r="M13" s="32">
        <f t="shared" si="2"/>
        <v>0</v>
      </c>
      <c r="N13" s="46" t="s">
        <v>132</v>
      </c>
      <c r="O13" s="2"/>
    </row>
    <row r="14" spans="1:15" x14ac:dyDescent="0.25">
      <c r="A14" s="115" t="s">
        <v>18</v>
      </c>
      <c r="B14" s="9" t="s">
        <v>73</v>
      </c>
      <c r="C14" s="54">
        <f>1/6</f>
        <v>0.16666666666666666</v>
      </c>
      <c r="D14" s="115" t="s">
        <v>73</v>
      </c>
      <c r="E14" s="32">
        <v>1500</v>
      </c>
      <c r="F14" s="115" t="s">
        <v>77</v>
      </c>
      <c r="G14" s="32">
        <f t="shared" si="0"/>
        <v>250</v>
      </c>
      <c r="H14" s="121">
        <f>G14</f>
        <v>250</v>
      </c>
      <c r="I14" s="141" t="s">
        <v>77</v>
      </c>
      <c r="J14" s="115"/>
      <c r="K14" s="32">
        <f t="shared" si="1"/>
        <v>3000</v>
      </c>
      <c r="L14" s="32">
        <f t="shared" si="2"/>
        <v>3000</v>
      </c>
      <c r="M14" s="32">
        <f t="shared" si="2"/>
        <v>3000</v>
      </c>
      <c r="N14" s="46" t="s">
        <v>133</v>
      </c>
      <c r="O14" s="2"/>
    </row>
    <row r="15" spans="1:15" x14ac:dyDescent="0.25">
      <c r="A15" s="115"/>
      <c r="C15" s="115"/>
      <c r="D15" s="115"/>
      <c r="E15" s="32"/>
      <c r="F15" s="115"/>
      <c r="G15" s="32"/>
      <c r="H15" s="121"/>
      <c r="I15" s="141"/>
      <c r="J15" s="115"/>
      <c r="K15" s="32"/>
      <c r="L15" s="32"/>
      <c r="M15" s="32"/>
      <c r="O15" s="2"/>
    </row>
    <row r="16" spans="1:15" x14ac:dyDescent="0.25">
      <c r="A16" s="23"/>
      <c r="B16" s="24" t="s">
        <v>6</v>
      </c>
      <c r="C16" s="21"/>
      <c r="D16" s="21"/>
      <c r="E16" s="26"/>
      <c r="F16" s="26"/>
      <c r="G16" s="62" t="s">
        <v>84</v>
      </c>
      <c r="H16" s="123" t="s">
        <v>85</v>
      </c>
      <c r="I16" s="120"/>
      <c r="J16" s="115"/>
      <c r="K16" s="55"/>
      <c r="L16" s="30"/>
      <c r="M16" s="30"/>
      <c r="N16" s="49"/>
    </row>
    <row r="17" spans="1:16" x14ac:dyDescent="0.25">
      <c r="A17" s="115" t="s">
        <v>19</v>
      </c>
      <c r="B17" s="9" t="s">
        <v>100</v>
      </c>
      <c r="C17" s="115">
        <f>96*2</f>
        <v>192</v>
      </c>
      <c r="D17" s="115" t="s">
        <v>78</v>
      </c>
      <c r="E17" s="32">
        <v>20</v>
      </c>
      <c r="F17" s="115" t="s">
        <v>77</v>
      </c>
      <c r="G17" s="32">
        <f>C17*E17</f>
        <v>3840</v>
      </c>
      <c r="H17" s="124">
        <f>G17*52/12</f>
        <v>16640</v>
      </c>
      <c r="I17" s="141" t="s">
        <v>77</v>
      </c>
      <c r="J17" s="115"/>
      <c r="K17" s="32">
        <f>H17*$M$8</f>
        <v>199680</v>
      </c>
      <c r="L17" s="32">
        <f>K17</f>
        <v>199680</v>
      </c>
      <c r="M17" s="32">
        <f>L17</f>
        <v>199680</v>
      </c>
      <c r="N17" s="46" t="s">
        <v>97</v>
      </c>
      <c r="O17" s="43"/>
      <c r="P17" s="43"/>
    </row>
    <row r="18" spans="1:16" x14ac:dyDescent="0.25">
      <c r="A18" s="115" t="s">
        <v>20</v>
      </c>
      <c r="B18" s="9" t="s">
        <v>68</v>
      </c>
      <c r="C18" s="115">
        <f>120*2</f>
        <v>240</v>
      </c>
      <c r="D18" s="115" t="s">
        <v>78</v>
      </c>
      <c r="E18" s="32">
        <v>23</v>
      </c>
      <c r="F18" s="115" t="s">
        <v>77</v>
      </c>
      <c r="G18" s="32">
        <f t="shared" ref="G18:G23" si="3">C18*E18</f>
        <v>5520</v>
      </c>
      <c r="H18" s="124">
        <f t="shared" ref="H18:H23" si="4">G18*52/12</f>
        <v>23920</v>
      </c>
      <c r="I18" s="141" t="s">
        <v>77</v>
      </c>
      <c r="J18" s="115"/>
      <c r="K18" s="32">
        <f t="shared" ref="K18:K23" si="5">H18*$M$8</f>
        <v>287040</v>
      </c>
      <c r="L18" s="32">
        <f t="shared" ref="L18:M23" si="6">K18</f>
        <v>287040</v>
      </c>
      <c r="M18" s="32">
        <f t="shared" si="6"/>
        <v>287040</v>
      </c>
      <c r="N18" s="46" t="s">
        <v>103</v>
      </c>
      <c r="O18" s="43"/>
      <c r="P18" s="43"/>
    </row>
    <row r="19" spans="1:16" x14ac:dyDescent="0.25">
      <c r="A19" s="115" t="s">
        <v>21</v>
      </c>
      <c r="B19" s="9" t="s">
        <v>37</v>
      </c>
      <c r="C19" s="56">
        <v>2</v>
      </c>
      <c r="D19" s="115" t="s">
        <v>79</v>
      </c>
      <c r="E19" s="32">
        <v>1600</v>
      </c>
      <c r="F19" s="115" t="s">
        <v>77</v>
      </c>
      <c r="G19" s="32">
        <f t="shared" si="3"/>
        <v>3200</v>
      </c>
      <c r="H19" s="124">
        <f t="shared" si="4"/>
        <v>13866.666666666666</v>
      </c>
      <c r="I19" s="141" t="s">
        <v>77</v>
      </c>
      <c r="J19" s="115"/>
      <c r="K19" s="32">
        <f t="shared" si="5"/>
        <v>166400</v>
      </c>
      <c r="L19" s="32">
        <f t="shared" si="6"/>
        <v>166400</v>
      </c>
      <c r="M19" s="32">
        <f t="shared" si="6"/>
        <v>166400</v>
      </c>
      <c r="N19" s="46" t="s">
        <v>98</v>
      </c>
      <c r="O19" s="72"/>
      <c r="P19" s="43"/>
    </row>
    <row r="20" spans="1:16" x14ac:dyDescent="0.25">
      <c r="A20" s="115" t="s">
        <v>22</v>
      </c>
      <c r="B20" s="9" t="s">
        <v>99</v>
      </c>
      <c r="C20" s="115">
        <v>1</v>
      </c>
      <c r="D20" s="115" t="s">
        <v>105</v>
      </c>
      <c r="E20" s="60">
        <f>ROUNDUP(SUM(C32:C33)*40/100*2,-1)</f>
        <v>350</v>
      </c>
      <c r="F20" s="115" t="s">
        <v>77</v>
      </c>
      <c r="G20" s="32">
        <f t="shared" si="3"/>
        <v>350</v>
      </c>
      <c r="H20" s="124">
        <f t="shared" si="4"/>
        <v>1516.6666666666667</v>
      </c>
      <c r="I20" s="141" t="s">
        <v>77</v>
      </c>
      <c r="J20" s="115"/>
      <c r="K20" s="32">
        <f t="shared" si="5"/>
        <v>18200</v>
      </c>
      <c r="L20" s="32">
        <f t="shared" si="6"/>
        <v>18200</v>
      </c>
      <c r="M20" s="32">
        <f t="shared" si="6"/>
        <v>18200</v>
      </c>
      <c r="N20" s="46" t="s">
        <v>96</v>
      </c>
      <c r="O20" s="72"/>
      <c r="P20" s="43"/>
    </row>
    <row r="21" spans="1:16" x14ac:dyDescent="0.25">
      <c r="A21" s="115" t="s">
        <v>70</v>
      </c>
      <c r="B21" s="9" t="s">
        <v>88</v>
      </c>
      <c r="C21" s="115">
        <v>3</v>
      </c>
      <c r="D21" s="115" t="s">
        <v>89</v>
      </c>
      <c r="E21" s="32">
        <v>2700</v>
      </c>
      <c r="F21" s="115" t="s">
        <v>77</v>
      </c>
      <c r="G21" s="32">
        <f t="shared" si="3"/>
        <v>8100</v>
      </c>
      <c r="H21" s="124">
        <f t="shared" si="4"/>
        <v>35100</v>
      </c>
      <c r="I21" s="141" t="s">
        <v>77</v>
      </c>
      <c r="J21" s="115"/>
      <c r="K21" s="32">
        <f t="shared" si="5"/>
        <v>421200</v>
      </c>
      <c r="L21" s="32">
        <f t="shared" si="6"/>
        <v>421200</v>
      </c>
      <c r="M21" s="32">
        <f t="shared" si="6"/>
        <v>421200</v>
      </c>
      <c r="N21" s="46" t="s">
        <v>127</v>
      </c>
      <c r="P21" s="43"/>
    </row>
    <row r="22" spans="1:16" x14ac:dyDescent="0.25">
      <c r="A22" s="115" t="s">
        <v>71</v>
      </c>
      <c r="B22" s="9" t="s">
        <v>90</v>
      </c>
      <c r="C22" s="115">
        <f>C21</f>
        <v>3</v>
      </c>
      <c r="D22" s="115" t="s">
        <v>91</v>
      </c>
      <c r="E22" s="32">
        <v>100</v>
      </c>
      <c r="F22" s="115" t="s">
        <v>77</v>
      </c>
      <c r="G22" s="32">
        <f t="shared" si="3"/>
        <v>300</v>
      </c>
      <c r="H22" s="124">
        <f t="shared" si="4"/>
        <v>1300</v>
      </c>
      <c r="I22" s="141" t="s">
        <v>77</v>
      </c>
      <c r="J22" s="115"/>
      <c r="K22" s="32">
        <f t="shared" si="5"/>
        <v>15600</v>
      </c>
      <c r="L22" s="32">
        <f t="shared" si="6"/>
        <v>15600</v>
      </c>
      <c r="M22" s="32">
        <f t="shared" si="6"/>
        <v>15600</v>
      </c>
      <c r="P22" s="43"/>
    </row>
    <row r="23" spans="1:16" x14ac:dyDescent="0.25">
      <c r="A23" s="115" t="s">
        <v>83</v>
      </c>
      <c r="B23" s="9" t="s">
        <v>102</v>
      </c>
      <c r="C23" s="115">
        <v>1</v>
      </c>
      <c r="D23" s="115" t="s">
        <v>105</v>
      </c>
      <c r="E23" s="60">
        <f>ROUNDUP(SUM(C34)*40/100*2,-1)</f>
        <v>50</v>
      </c>
      <c r="F23" s="115" t="s">
        <v>77</v>
      </c>
      <c r="G23" s="32">
        <f t="shared" si="3"/>
        <v>50</v>
      </c>
      <c r="H23" s="124">
        <f t="shared" si="4"/>
        <v>216.66666666666666</v>
      </c>
      <c r="I23" s="141" t="s">
        <v>77</v>
      </c>
      <c r="J23" s="115"/>
      <c r="K23" s="32">
        <f t="shared" si="5"/>
        <v>2600</v>
      </c>
      <c r="L23" s="32">
        <f t="shared" si="6"/>
        <v>2600</v>
      </c>
      <c r="M23" s="32">
        <f t="shared" si="6"/>
        <v>2600</v>
      </c>
      <c r="N23" s="46" t="s">
        <v>96</v>
      </c>
      <c r="O23" s="2"/>
      <c r="P23" s="43"/>
    </row>
    <row r="24" spans="1:16" x14ac:dyDescent="0.25">
      <c r="A24" s="115"/>
      <c r="C24" s="115"/>
      <c r="D24" s="115"/>
      <c r="E24" s="60"/>
      <c r="F24" s="115"/>
      <c r="G24" s="32"/>
      <c r="H24" s="124"/>
      <c r="I24" s="141"/>
      <c r="J24" s="115"/>
      <c r="K24" s="32"/>
      <c r="L24" s="32"/>
      <c r="M24" s="32"/>
      <c r="O24" s="2"/>
      <c r="P24" s="43"/>
    </row>
    <row r="25" spans="1:16" x14ac:dyDescent="0.25">
      <c r="A25" s="23"/>
      <c r="B25" s="126" t="s">
        <v>138</v>
      </c>
      <c r="C25" s="21"/>
      <c r="D25" s="21"/>
      <c r="E25" s="26"/>
      <c r="F25" s="26"/>
      <c r="G25" s="26"/>
      <c r="H25" s="119"/>
      <c r="I25" s="120"/>
      <c r="J25" s="115"/>
      <c r="K25" s="30"/>
      <c r="L25" s="30"/>
      <c r="M25" s="30"/>
      <c r="N25" s="49"/>
      <c r="O25" s="2"/>
    </row>
    <row r="26" spans="1:16" s="134" customFormat="1" x14ac:dyDescent="0.25">
      <c r="A26" s="127" t="s">
        <v>139</v>
      </c>
      <c r="B26" s="128" t="s">
        <v>123</v>
      </c>
      <c r="C26" s="127">
        <v>1</v>
      </c>
      <c r="D26" s="127" t="s">
        <v>137</v>
      </c>
      <c r="E26" s="129">
        <v>1000</v>
      </c>
      <c r="F26" s="127" t="s">
        <v>77</v>
      </c>
      <c r="G26" s="129">
        <f t="shared" ref="G26" si="7">C26*E26</f>
        <v>1000</v>
      </c>
      <c r="H26" s="130"/>
      <c r="I26" s="155" t="s">
        <v>77</v>
      </c>
      <c r="J26" s="132"/>
      <c r="K26" s="129">
        <f>H26*$M$8</f>
        <v>0</v>
      </c>
      <c r="L26" s="129">
        <f>E26*$M$8</f>
        <v>12000</v>
      </c>
      <c r="M26" s="129">
        <f t="shared" ref="M26" si="8">L26</f>
        <v>12000</v>
      </c>
      <c r="N26" s="133" t="s">
        <v>140</v>
      </c>
      <c r="P26" s="135"/>
    </row>
    <row r="27" spans="1:16" x14ac:dyDescent="0.25">
      <c r="A27" s="115"/>
      <c r="C27" s="115"/>
      <c r="D27" s="115"/>
      <c r="E27" s="32"/>
      <c r="F27" s="115"/>
      <c r="G27" s="32"/>
      <c r="H27" s="124"/>
      <c r="I27" s="141"/>
      <c r="J27" s="115"/>
      <c r="K27" s="32"/>
      <c r="L27" s="32"/>
      <c r="M27" s="32"/>
    </row>
    <row r="28" spans="1:16" s="7" customFormat="1" x14ac:dyDescent="0.25">
      <c r="A28" s="114" t="s">
        <v>7</v>
      </c>
      <c r="B28" s="176" t="s">
        <v>0</v>
      </c>
      <c r="C28" s="176"/>
      <c r="D28" s="176"/>
      <c r="E28" s="176"/>
      <c r="F28" s="176"/>
      <c r="G28" s="31">
        <f>SUM(G12:G27)</f>
        <v>22610</v>
      </c>
      <c r="H28" s="136">
        <f>SUM(H12:H27)</f>
        <v>92810</v>
      </c>
      <c r="I28" s="137" t="s">
        <v>77</v>
      </c>
      <c r="J28" s="8"/>
      <c r="K28" s="31">
        <f>SUM(K12:K27)</f>
        <v>1113720</v>
      </c>
      <c r="L28" s="31">
        <f>SUM(L12:L27)</f>
        <v>1125720</v>
      </c>
      <c r="M28" s="31">
        <f>SUM(M12:M27)</f>
        <v>1125720</v>
      </c>
      <c r="N28" s="50"/>
      <c r="P28" s="74"/>
    </row>
    <row r="29" spans="1:16" x14ac:dyDescent="0.25">
      <c r="H29" s="144"/>
      <c r="I29" s="156"/>
      <c r="J29" s="115"/>
      <c r="K29" s="43"/>
    </row>
    <row r="30" spans="1:16" ht="18.75" x14ac:dyDescent="0.25">
      <c r="A30" s="179" t="s">
        <v>35</v>
      </c>
      <c r="B30" s="179"/>
      <c r="C30" s="179"/>
      <c r="D30" s="179"/>
      <c r="E30" s="179"/>
      <c r="F30" s="179"/>
      <c r="G30" s="179"/>
      <c r="H30" s="202" t="s">
        <v>74</v>
      </c>
      <c r="I30" s="203"/>
      <c r="J30" s="115"/>
      <c r="K30" s="34" t="s">
        <v>52</v>
      </c>
      <c r="L30" s="34" t="s">
        <v>51</v>
      </c>
      <c r="M30" s="34" t="s">
        <v>53</v>
      </c>
      <c r="N30" s="47" t="s">
        <v>72</v>
      </c>
    </row>
    <row r="31" spans="1:16" x14ac:dyDescent="0.25">
      <c r="A31" s="6" t="s">
        <v>11</v>
      </c>
      <c r="B31" s="6" t="s">
        <v>36</v>
      </c>
      <c r="C31" s="6" t="s">
        <v>44</v>
      </c>
      <c r="D31" s="6" t="s">
        <v>3</v>
      </c>
      <c r="E31" s="6" t="s">
        <v>38</v>
      </c>
      <c r="F31" s="6" t="s">
        <v>3</v>
      </c>
      <c r="G31" s="6" t="s">
        <v>76</v>
      </c>
      <c r="H31" s="117" t="s">
        <v>75</v>
      </c>
      <c r="I31" s="118" t="s">
        <v>3</v>
      </c>
      <c r="J31" s="115"/>
      <c r="K31" s="35" t="s">
        <v>1</v>
      </c>
      <c r="L31" s="35" t="s">
        <v>1</v>
      </c>
      <c r="M31" s="35" t="s">
        <v>1</v>
      </c>
      <c r="N31" s="48"/>
      <c r="P31" s="43"/>
    </row>
    <row r="32" spans="1:16" x14ac:dyDescent="0.25">
      <c r="A32" s="115" t="s">
        <v>23</v>
      </c>
      <c r="B32" s="9" t="s">
        <v>67</v>
      </c>
      <c r="C32" s="115">
        <f>C17</f>
        <v>192</v>
      </c>
      <c r="D32" s="115" t="str">
        <f>D17</f>
        <v>kg</v>
      </c>
      <c r="E32" s="32">
        <v>60</v>
      </c>
      <c r="F32" s="115" t="s">
        <v>77</v>
      </c>
      <c r="G32" s="32">
        <f>C32*E32</f>
        <v>11520</v>
      </c>
      <c r="H32" s="124">
        <f t="shared" ref="H32:H33" si="9">G32*52/12</f>
        <v>49920</v>
      </c>
      <c r="I32" s="141" t="s">
        <v>77</v>
      </c>
      <c r="J32" s="115"/>
      <c r="K32" s="32">
        <f t="shared" ref="K32:K33" si="10">H32*$M$8</f>
        <v>599040</v>
      </c>
      <c r="L32" s="32">
        <f t="shared" ref="L32:M34" si="11">K32</f>
        <v>599040</v>
      </c>
      <c r="M32" s="32">
        <f t="shared" si="11"/>
        <v>599040</v>
      </c>
      <c r="P32" s="43"/>
    </row>
    <row r="33" spans="1:17" s="11" customFormat="1" x14ac:dyDescent="0.25">
      <c r="A33" s="115" t="s">
        <v>24</v>
      </c>
      <c r="B33" s="9" t="s">
        <v>68</v>
      </c>
      <c r="C33" s="115">
        <f>C18</f>
        <v>240</v>
      </c>
      <c r="D33" s="115" t="str">
        <f>D18</f>
        <v>kg</v>
      </c>
      <c r="E33" s="32">
        <v>40</v>
      </c>
      <c r="F33" s="115" t="s">
        <v>77</v>
      </c>
      <c r="G33" s="32">
        <f t="shared" ref="G33:G34" si="12">C33*E33</f>
        <v>9600</v>
      </c>
      <c r="H33" s="124">
        <f t="shared" si="9"/>
        <v>41600</v>
      </c>
      <c r="I33" s="141" t="s">
        <v>77</v>
      </c>
      <c r="J33" s="115"/>
      <c r="K33" s="32">
        <f t="shared" si="10"/>
        <v>499200</v>
      </c>
      <c r="L33" s="32">
        <f t="shared" si="11"/>
        <v>499200</v>
      </c>
      <c r="M33" s="32">
        <f t="shared" si="11"/>
        <v>499200</v>
      </c>
      <c r="N33" s="46"/>
      <c r="P33" s="43"/>
      <c r="Q33" s="73"/>
    </row>
    <row r="34" spans="1:17" x14ac:dyDescent="0.25">
      <c r="A34" s="115" t="s">
        <v>25</v>
      </c>
      <c r="B34" s="9" t="s">
        <v>92</v>
      </c>
      <c r="C34" s="56">
        <f>(17+(20-17)/2)*C21</f>
        <v>55.5</v>
      </c>
      <c r="D34" s="115" t="s">
        <v>78</v>
      </c>
      <c r="E34" s="32">
        <v>200</v>
      </c>
      <c r="F34" s="115" t="s">
        <v>77</v>
      </c>
      <c r="G34" s="32">
        <f t="shared" si="12"/>
        <v>11100</v>
      </c>
      <c r="H34" s="124">
        <f>G34*52/12</f>
        <v>48100</v>
      </c>
      <c r="I34" s="141" t="s">
        <v>77</v>
      </c>
      <c r="J34" s="115"/>
      <c r="K34" s="32">
        <f>H34*$M$8</f>
        <v>577200</v>
      </c>
      <c r="L34" s="32">
        <f t="shared" si="11"/>
        <v>577200</v>
      </c>
      <c r="M34" s="32">
        <f t="shared" si="11"/>
        <v>577200</v>
      </c>
      <c r="N34" s="46" t="s">
        <v>93</v>
      </c>
      <c r="Q34" s="43"/>
    </row>
    <row r="35" spans="1:17" x14ac:dyDescent="0.25">
      <c r="A35" s="115"/>
      <c r="C35" s="115"/>
      <c r="D35" s="115"/>
      <c r="E35" s="115"/>
      <c r="F35" s="115"/>
      <c r="G35" s="115"/>
      <c r="H35" s="140"/>
      <c r="I35" s="141"/>
      <c r="J35" s="115"/>
      <c r="K35" s="32"/>
      <c r="L35" s="32"/>
      <c r="M35" s="32"/>
    </row>
    <row r="36" spans="1:17" x14ac:dyDescent="0.25">
      <c r="A36" s="23"/>
      <c r="B36" s="126" t="s">
        <v>138</v>
      </c>
      <c r="C36" s="21"/>
      <c r="D36" s="21"/>
      <c r="E36" s="26"/>
      <c r="F36" s="26"/>
      <c r="G36" s="26"/>
      <c r="H36" s="119"/>
      <c r="I36" s="120"/>
      <c r="J36" s="115"/>
      <c r="K36" s="30"/>
      <c r="L36" s="30"/>
      <c r="M36" s="30"/>
      <c r="N36" s="49"/>
      <c r="O36" s="2"/>
    </row>
    <row r="37" spans="1:17" s="134" customFormat="1" x14ac:dyDescent="0.25">
      <c r="A37" s="127" t="s">
        <v>141</v>
      </c>
      <c r="B37" s="128" t="s">
        <v>142</v>
      </c>
      <c r="C37" s="127">
        <v>1</v>
      </c>
      <c r="D37" s="127" t="s">
        <v>105</v>
      </c>
      <c r="E37" s="129">
        <f>(SUM(H32:H34)-SUM(H17:H23))*0.5</f>
        <v>23530</v>
      </c>
      <c r="F37" s="127" t="s">
        <v>77</v>
      </c>
      <c r="G37" s="129">
        <f t="shared" ref="G37:G39" si="13">C37*E37</f>
        <v>23530</v>
      </c>
      <c r="H37" s="130"/>
      <c r="I37" s="131"/>
      <c r="J37" s="132"/>
      <c r="K37" s="129">
        <f>H37*$M$8</f>
        <v>0</v>
      </c>
      <c r="L37" s="129">
        <f>G37*$M$8</f>
        <v>282360</v>
      </c>
      <c r="M37" s="129">
        <f t="shared" ref="M37:M38" si="14">L37</f>
        <v>282360</v>
      </c>
      <c r="N37" s="133" t="s">
        <v>154</v>
      </c>
      <c r="P37" s="135"/>
    </row>
    <row r="38" spans="1:17" s="142" customFormat="1" x14ac:dyDescent="0.25">
      <c r="A38" s="127" t="s">
        <v>144</v>
      </c>
      <c r="B38" s="128" t="s">
        <v>145</v>
      </c>
      <c r="C38" s="127">
        <v>1</v>
      </c>
      <c r="D38" s="127" t="s">
        <v>105</v>
      </c>
      <c r="E38" s="129">
        <v>20000</v>
      </c>
      <c r="F38" s="127" t="s">
        <v>77</v>
      </c>
      <c r="G38" s="129">
        <f t="shared" si="13"/>
        <v>20000</v>
      </c>
      <c r="H38" s="130"/>
      <c r="I38" s="131"/>
      <c r="J38" s="132"/>
      <c r="K38" s="129">
        <f>H38*$M$8</f>
        <v>0</v>
      </c>
      <c r="L38" s="129">
        <f>G38*$M$8</f>
        <v>240000</v>
      </c>
      <c r="M38" s="129">
        <f t="shared" si="14"/>
        <v>240000</v>
      </c>
      <c r="N38" s="133"/>
      <c r="P38" s="135"/>
      <c r="Q38" s="143"/>
    </row>
    <row r="39" spans="1:17" s="134" customFormat="1" x14ac:dyDescent="0.25">
      <c r="A39" s="127" t="s">
        <v>146</v>
      </c>
      <c r="B39" s="128" t="s">
        <v>147</v>
      </c>
      <c r="C39" s="127">
        <v>1</v>
      </c>
      <c r="D39" s="127" t="s">
        <v>105</v>
      </c>
      <c r="E39" s="129">
        <v>20000</v>
      </c>
      <c r="F39" s="127" t="s">
        <v>77</v>
      </c>
      <c r="G39" s="129">
        <f t="shared" si="13"/>
        <v>20000</v>
      </c>
      <c r="H39" s="130"/>
      <c r="I39" s="131"/>
      <c r="J39" s="132"/>
      <c r="K39" s="129">
        <f>H39*$M$8</f>
        <v>0</v>
      </c>
      <c r="L39" s="129">
        <v>0</v>
      </c>
      <c r="M39" s="129">
        <f>G39*$M$8</f>
        <v>240000</v>
      </c>
      <c r="N39" s="133"/>
      <c r="Q39" s="135"/>
    </row>
    <row r="40" spans="1:17" x14ac:dyDescent="0.25">
      <c r="A40" s="115"/>
      <c r="C40" s="56"/>
      <c r="D40" s="115"/>
      <c r="E40" s="32"/>
      <c r="F40" s="115"/>
      <c r="G40" s="32"/>
      <c r="H40" s="124"/>
      <c r="I40" s="125"/>
      <c r="J40" s="115"/>
      <c r="K40" s="32"/>
      <c r="L40" s="32"/>
      <c r="M40" s="32"/>
      <c r="Q40" s="43"/>
    </row>
    <row r="41" spans="1:17" s="7" customFormat="1" x14ac:dyDescent="0.25">
      <c r="A41" s="114" t="s">
        <v>12</v>
      </c>
      <c r="B41" s="176" t="s">
        <v>0</v>
      </c>
      <c r="C41" s="176"/>
      <c r="D41" s="176"/>
      <c r="E41" s="176"/>
      <c r="F41" s="176"/>
      <c r="G41" s="31">
        <f>SUM(G32:G35)</f>
        <v>32220</v>
      </c>
      <c r="H41" s="136">
        <f>SUM(H32:H40)</f>
        <v>139620</v>
      </c>
      <c r="I41" s="137" t="s">
        <v>77</v>
      </c>
      <c r="J41" s="8"/>
      <c r="K41" s="31">
        <f>SUM(K32:K40)</f>
        <v>1675440</v>
      </c>
      <c r="L41" s="31">
        <f>SUM(L32:L40)</f>
        <v>2197800</v>
      </c>
      <c r="M41" s="31">
        <f>SUM(M32:M40)</f>
        <v>2437800</v>
      </c>
      <c r="N41" s="50"/>
    </row>
    <row r="42" spans="1:17" x14ac:dyDescent="0.25">
      <c r="H42" s="138"/>
      <c r="I42" s="139"/>
      <c r="J42" s="115"/>
    </row>
    <row r="43" spans="1:17" ht="18.75" x14ac:dyDescent="0.25">
      <c r="A43" s="179" t="s">
        <v>45</v>
      </c>
      <c r="B43" s="179"/>
      <c r="C43" s="179"/>
      <c r="D43" s="179"/>
      <c r="E43" s="179"/>
      <c r="F43" s="179"/>
      <c r="G43" s="179"/>
      <c r="H43" s="202" t="s">
        <v>74</v>
      </c>
      <c r="I43" s="203"/>
      <c r="J43" s="115"/>
      <c r="K43" s="34" t="s">
        <v>52</v>
      </c>
      <c r="L43" s="34" t="s">
        <v>51</v>
      </c>
      <c r="M43" s="34" t="s">
        <v>53</v>
      </c>
      <c r="N43" s="51"/>
    </row>
    <row r="44" spans="1:17" x14ac:dyDescent="0.25">
      <c r="A44" s="8" t="s">
        <v>7</v>
      </c>
      <c r="B44" s="197" t="s">
        <v>26</v>
      </c>
      <c r="C44" s="197"/>
      <c r="D44" s="197"/>
      <c r="E44" s="197"/>
      <c r="F44" s="197"/>
      <c r="G44" s="32"/>
      <c r="H44" s="121">
        <f>H28</f>
        <v>92810</v>
      </c>
      <c r="I44" s="122" t="s">
        <v>77</v>
      </c>
      <c r="J44" s="115"/>
      <c r="K44" s="32">
        <f>K28</f>
        <v>1113720</v>
      </c>
      <c r="L44" s="32">
        <f>L28</f>
        <v>1125720</v>
      </c>
      <c r="M44" s="32">
        <f>M28</f>
        <v>1125720</v>
      </c>
    </row>
    <row r="45" spans="1:17" x14ac:dyDescent="0.25">
      <c r="A45" s="8" t="s">
        <v>12</v>
      </c>
      <c r="B45" s="197" t="s">
        <v>46</v>
      </c>
      <c r="C45" s="197"/>
      <c r="D45" s="197"/>
      <c r="E45" s="197"/>
      <c r="F45" s="197"/>
      <c r="G45" s="32"/>
      <c r="H45" s="121">
        <f>H41</f>
        <v>139620</v>
      </c>
      <c r="I45" s="122" t="s">
        <v>77</v>
      </c>
      <c r="J45" s="115"/>
      <c r="K45" s="32">
        <f>K41</f>
        <v>1675440</v>
      </c>
      <c r="L45" s="32">
        <f>L41</f>
        <v>2197800</v>
      </c>
      <c r="M45" s="32">
        <f>M41</f>
        <v>2437800</v>
      </c>
      <c r="P45" s="43"/>
    </row>
    <row r="46" spans="1:17" s="7" customFormat="1" x14ac:dyDescent="0.25">
      <c r="A46" s="22"/>
      <c r="B46" s="196" t="s">
        <v>62</v>
      </c>
      <c r="C46" s="196"/>
      <c r="D46" s="196"/>
      <c r="E46" s="196"/>
      <c r="F46" s="196"/>
      <c r="G46" s="31"/>
      <c r="H46" s="136">
        <f>H45-H44</f>
        <v>46810</v>
      </c>
      <c r="I46" s="137" t="s">
        <v>77</v>
      </c>
      <c r="J46" s="8"/>
      <c r="K46" s="31">
        <f>K45-K44</f>
        <v>561720</v>
      </c>
      <c r="L46" s="31">
        <f>L45-L44</f>
        <v>1072080</v>
      </c>
      <c r="M46" s="31">
        <f>M45-M44</f>
        <v>1312080</v>
      </c>
      <c r="N46" s="50"/>
    </row>
    <row r="47" spans="1:17" x14ac:dyDescent="0.25">
      <c r="A47" s="41" t="s">
        <v>9</v>
      </c>
      <c r="B47" s="198" t="s">
        <v>27</v>
      </c>
      <c r="C47" s="198"/>
      <c r="D47" s="198"/>
      <c r="E47" s="198"/>
      <c r="F47" s="198"/>
      <c r="G47" s="42"/>
      <c r="H47" s="145"/>
      <c r="I47" s="146"/>
      <c r="J47" s="115"/>
      <c r="K47" s="32"/>
      <c r="L47" s="42">
        <f>'Info general'!H23</f>
        <v>12190</v>
      </c>
      <c r="M47" s="42">
        <f>+'Info general'!H23+'Info general'!H31</f>
        <v>13540</v>
      </c>
      <c r="N47" s="52"/>
    </row>
    <row r="48" spans="1:17" s="7" customFormat="1" ht="15.75" thickBot="1" x14ac:dyDescent="0.3">
      <c r="A48" s="22"/>
      <c r="B48" s="196" t="s">
        <v>63</v>
      </c>
      <c r="C48" s="196"/>
      <c r="D48" s="196"/>
      <c r="E48" s="196"/>
      <c r="F48" s="196"/>
      <c r="G48" s="31"/>
      <c r="H48" s="147">
        <f>H46</f>
        <v>46810</v>
      </c>
      <c r="I48" s="148" t="s">
        <v>77</v>
      </c>
      <c r="J48" s="8"/>
      <c r="K48" s="31">
        <f>K46-K47</f>
        <v>561720</v>
      </c>
      <c r="L48" s="31">
        <f t="shared" ref="L48:M48" si="15">L46-L47</f>
        <v>1059890</v>
      </c>
      <c r="M48" s="31">
        <f t="shared" si="15"/>
        <v>1298540</v>
      </c>
      <c r="N48" s="50"/>
    </row>
    <row r="49" spans="1:17" x14ac:dyDescent="0.25">
      <c r="J49" s="115"/>
    </row>
    <row r="50" spans="1:17" s="36" customFormat="1" ht="15.75" thickBot="1" x14ac:dyDescent="0.3">
      <c r="A50" s="9"/>
      <c r="B50" s="9"/>
      <c r="C50" s="9"/>
      <c r="D50" s="9"/>
      <c r="E50" s="9"/>
      <c r="F50" s="9"/>
      <c r="G50" s="9"/>
      <c r="H50" s="9"/>
      <c r="I50" s="9"/>
      <c r="J50" s="115"/>
      <c r="N50" s="46"/>
      <c r="O50" s="9"/>
      <c r="P50" s="9"/>
      <c r="Q50" s="9"/>
    </row>
    <row r="51" spans="1:17" s="159" customFormat="1" ht="15.75" x14ac:dyDescent="0.25">
      <c r="A51" s="192" t="s">
        <v>161</v>
      </c>
      <c r="B51" s="199"/>
      <c r="C51" s="199"/>
      <c r="D51" s="199"/>
      <c r="E51" s="199"/>
      <c r="F51" s="199"/>
      <c r="G51" s="199"/>
      <c r="H51" s="192" t="s">
        <v>74</v>
      </c>
      <c r="I51" s="193"/>
      <c r="J51" s="174"/>
      <c r="K51" s="160" t="s">
        <v>52</v>
      </c>
      <c r="L51" s="161" t="s">
        <v>51</v>
      </c>
      <c r="M51" s="170" t="s">
        <v>53</v>
      </c>
      <c r="N51" s="46"/>
    </row>
    <row r="52" spans="1:17" x14ac:dyDescent="0.25">
      <c r="A52" s="166" t="s">
        <v>9</v>
      </c>
      <c r="B52" s="194" t="s">
        <v>157</v>
      </c>
      <c r="C52" s="194"/>
      <c r="D52" s="194"/>
      <c r="E52" s="194"/>
      <c r="F52" s="194"/>
      <c r="G52" s="167"/>
      <c r="H52" s="168"/>
      <c r="I52" s="169"/>
      <c r="J52" s="173"/>
      <c r="K52" s="168">
        <f>'Info general'!F23</f>
        <v>69900</v>
      </c>
      <c r="L52" s="167">
        <f>'Info general'!F31</f>
        <v>13500</v>
      </c>
      <c r="M52" s="169"/>
    </row>
    <row r="53" spans="1:17" x14ac:dyDescent="0.25">
      <c r="A53" s="166" t="s">
        <v>9</v>
      </c>
      <c r="B53" s="194" t="s">
        <v>27</v>
      </c>
      <c r="C53" s="194"/>
      <c r="D53" s="194"/>
      <c r="E53" s="194"/>
      <c r="F53" s="194"/>
      <c r="G53" s="167"/>
      <c r="H53" s="168"/>
      <c r="I53" s="169"/>
      <c r="J53" s="173"/>
      <c r="K53" s="168"/>
      <c r="L53" s="167">
        <f>'Info general'!H23</f>
        <v>12190</v>
      </c>
      <c r="M53" s="169">
        <f>'Info general'!H23+'Info general'!H31</f>
        <v>13540</v>
      </c>
      <c r="P53" s="43"/>
    </row>
    <row r="54" spans="1:17" x14ac:dyDescent="0.25">
      <c r="A54" s="166" t="s">
        <v>7</v>
      </c>
      <c r="B54" s="194" t="s">
        <v>158</v>
      </c>
      <c r="C54" s="194"/>
      <c r="D54" s="194"/>
      <c r="E54" s="194"/>
      <c r="F54" s="194"/>
      <c r="G54" s="167"/>
      <c r="H54" s="168">
        <f>H14</f>
        <v>250</v>
      </c>
      <c r="I54" s="169" t="s">
        <v>77</v>
      </c>
      <c r="J54" s="173"/>
      <c r="K54" s="168">
        <f>K14</f>
        <v>3000</v>
      </c>
      <c r="L54" s="167">
        <f>L14</f>
        <v>3000</v>
      </c>
      <c r="M54" s="169">
        <f>M14</f>
        <v>3000</v>
      </c>
      <c r="P54" s="43"/>
    </row>
    <row r="55" spans="1:17" x14ac:dyDescent="0.25">
      <c r="A55" s="166" t="s">
        <v>7</v>
      </c>
      <c r="B55" s="194" t="s">
        <v>159</v>
      </c>
      <c r="C55" s="194"/>
      <c r="D55" s="194"/>
      <c r="E55" s="194"/>
      <c r="F55" s="194"/>
      <c r="G55" s="167"/>
      <c r="H55" s="168">
        <f>H28-H54</f>
        <v>92560</v>
      </c>
      <c r="I55" s="169" t="s">
        <v>77</v>
      </c>
      <c r="J55" s="173"/>
      <c r="K55" s="168">
        <f>K28-K54</f>
        <v>1110720</v>
      </c>
      <c r="L55" s="167">
        <f>L28-L54</f>
        <v>1122720</v>
      </c>
      <c r="M55" s="169">
        <f>M28-M54</f>
        <v>1122720</v>
      </c>
      <c r="P55" s="43"/>
    </row>
    <row r="56" spans="1:17" x14ac:dyDescent="0.25">
      <c r="A56" s="166" t="s">
        <v>12</v>
      </c>
      <c r="B56" s="194" t="s">
        <v>160</v>
      </c>
      <c r="C56" s="194"/>
      <c r="D56" s="194"/>
      <c r="E56" s="194"/>
      <c r="F56" s="194"/>
      <c r="G56" s="167"/>
      <c r="H56" s="168">
        <f>H41</f>
        <v>139620</v>
      </c>
      <c r="I56" s="169" t="s">
        <v>77</v>
      </c>
      <c r="J56" s="173"/>
      <c r="K56" s="168">
        <f t="shared" ref="K56:M56" si="16">K41</f>
        <v>1675440</v>
      </c>
      <c r="L56" s="167">
        <f t="shared" si="16"/>
        <v>2197800</v>
      </c>
      <c r="M56" s="169">
        <f t="shared" si="16"/>
        <v>2437800</v>
      </c>
      <c r="P56" s="43"/>
    </row>
    <row r="57" spans="1:17" s="157" customFormat="1" ht="16.5" thickBot="1" x14ac:dyDescent="0.3">
      <c r="A57" s="162"/>
      <c r="B57" s="195" t="s">
        <v>63</v>
      </c>
      <c r="C57" s="195"/>
      <c r="D57" s="195"/>
      <c r="E57" s="195"/>
      <c r="F57" s="195"/>
      <c r="G57" s="163"/>
      <c r="H57" s="164">
        <f>H56-H55-H54</f>
        <v>46810</v>
      </c>
      <c r="I57" s="165" t="s">
        <v>77</v>
      </c>
      <c r="J57" s="175"/>
      <c r="K57" s="164">
        <f t="shared" ref="K57" si="17">K56-K55-K54</f>
        <v>561720</v>
      </c>
      <c r="L57" s="163">
        <f>L56-L55-L54-L53-L52</f>
        <v>1046390</v>
      </c>
      <c r="M57" s="165">
        <f>M56-M55-M54-M53-M52</f>
        <v>1298540</v>
      </c>
      <c r="N57" s="46"/>
      <c r="P57" s="158"/>
    </row>
    <row r="58" spans="1:17" s="36" customFormat="1" x14ac:dyDescent="0.25">
      <c r="A58" s="9"/>
      <c r="B58" s="9"/>
      <c r="C58" s="9"/>
      <c r="D58" s="9"/>
      <c r="E58" s="9"/>
      <c r="F58" s="9"/>
      <c r="G58" s="9"/>
      <c r="H58" s="9"/>
      <c r="I58" s="9"/>
      <c r="J58" s="115"/>
      <c r="N58" s="46"/>
      <c r="O58" s="9"/>
      <c r="P58" s="9"/>
      <c r="Q58" s="9"/>
    </row>
    <row r="59" spans="1:17" s="36" customFormat="1" x14ac:dyDescent="0.25">
      <c r="A59" s="9"/>
      <c r="B59" s="9"/>
      <c r="C59" s="9"/>
      <c r="D59" s="9"/>
      <c r="E59" s="9"/>
      <c r="F59" s="9"/>
      <c r="G59" s="9"/>
      <c r="H59" s="9"/>
      <c r="I59" s="9"/>
      <c r="J59" s="115"/>
      <c r="N59" s="46"/>
      <c r="O59" s="9"/>
      <c r="P59" s="9"/>
      <c r="Q59" s="9"/>
    </row>
    <row r="60" spans="1:17" s="36" customFormat="1" x14ac:dyDescent="0.25">
      <c r="A60" s="9"/>
      <c r="B60" s="9"/>
      <c r="C60" s="9"/>
      <c r="D60" s="9"/>
      <c r="E60" s="9"/>
      <c r="F60" s="9"/>
      <c r="G60" s="9"/>
      <c r="H60" s="9"/>
      <c r="I60" s="9"/>
      <c r="J60" s="115"/>
      <c r="N60" s="46"/>
      <c r="O60" s="9"/>
      <c r="P60" s="9"/>
      <c r="Q60" s="9"/>
    </row>
    <row r="61" spans="1:17" s="36" customFormat="1" x14ac:dyDescent="0.25">
      <c r="A61" s="9"/>
      <c r="B61" s="9"/>
      <c r="C61" s="9"/>
      <c r="D61" s="9"/>
      <c r="E61" s="9"/>
      <c r="F61" s="9"/>
      <c r="G61" s="9"/>
      <c r="H61" s="9"/>
      <c r="I61" s="9"/>
      <c r="J61" s="115"/>
      <c r="N61" s="46"/>
      <c r="O61" s="9"/>
      <c r="P61" s="9"/>
      <c r="Q61" s="9"/>
    </row>
    <row r="62" spans="1:17" s="36" customFormat="1" x14ac:dyDescent="0.25">
      <c r="A62" s="11"/>
      <c r="B62" s="11"/>
      <c r="C62" s="9"/>
      <c r="D62" s="9"/>
      <c r="E62" s="9"/>
      <c r="F62" s="9"/>
      <c r="G62" s="9"/>
      <c r="H62" s="9"/>
      <c r="I62" s="9"/>
      <c r="J62" s="115"/>
      <c r="N62" s="46"/>
      <c r="O62" s="9"/>
      <c r="P62" s="9"/>
      <c r="Q62" s="9"/>
    </row>
    <row r="63" spans="1:17" s="36" customFormat="1" x14ac:dyDescent="0.25">
      <c r="A63" s="11"/>
      <c r="B63" s="11"/>
      <c r="C63" s="9"/>
      <c r="D63" s="9"/>
      <c r="E63" s="9"/>
      <c r="F63" s="9"/>
      <c r="G63" s="9"/>
      <c r="H63" s="9"/>
      <c r="I63" s="9"/>
      <c r="J63" s="115"/>
      <c r="N63" s="46"/>
      <c r="O63" s="9"/>
      <c r="P63" s="9"/>
      <c r="Q63" s="9"/>
    </row>
    <row r="64" spans="1:17" s="36" customFormat="1" x14ac:dyDescent="0.25">
      <c r="A64" s="11"/>
      <c r="B64" s="11"/>
      <c r="C64" s="9"/>
      <c r="D64" s="9"/>
      <c r="E64" s="9"/>
      <c r="F64" s="9"/>
      <c r="G64" s="9"/>
      <c r="H64" s="9"/>
      <c r="I64" s="9"/>
      <c r="J64" s="115"/>
      <c r="N64" s="46"/>
      <c r="O64" s="9"/>
      <c r="P64" s="9"/>
      <c r="Q64" s="9"/>
    </row>
    <row r="65" spans="1:17" s="36" customFormat="1" x14ac:dyDescent="0.25">
      <c r="A65" s="11"/>
      <c r="B65" s="11"/>
      <c r="C65" s="9"/>
      <c r="D65" s="9"/>
      <c r="E65" s="9"/>
      <c r="F65" s="9"/>
      <c r="G65" s="9"/>
      <c r="H65" s="9"/>
      <c r="I65" s="9"/>
      <c r="J65" s="115"/>
      <c r="N65" s="46"/>
      <c r="O65" s="9"/>
      <c r="P65" s="9"/>
      <c r="Q65" s="9"/>
    </row>
    <row r="66" spans="1:17" s="36" customFormat="1" x14ac:dyDescent="0.25">
      <c r="A66" s="11"/>
      <c r="B66" s="11"/>
      <c r="C66" s="9"/>
      <c r="D66" s="9"/>
      <c r="E66" s="9"/>
      <c r="F66" s="9"/>
      <c r="G66" s="9"/>
      <c r="H66" s="9"/>
      <c r="I66" s="9"/>
      <c r="J66" s="115"/>
      <c r="N66" s="46"/>
      <c r="O66" s="9"/>
      <c r="P66" s="9"/>
      <c r="Q66" s="9"/>
    </row>
    <row r="67" spans="1:17" s="36" customFormat="1" x14ac:dyDescent="0.25">
      <c r="A67" s="9"/>
      <c r="B67" s="11"/>
      <c r="C67" s="9"/>
      <c r="D67" s="9"/>
      <c r="E67" s="9"/>
      <c r="F67" s="9"/>
      <c r="G67" s="9"/>
      <c r="H67" s="9"/>
      <c r="I67" s="9"/>
      <c r="J67" s="115"/>
      <c r="N67" s="46"/>
      <c r="O67" s="9"/>
      <c r="P67" s="9"/>
      <c r="Q67" s="9"/>
    </row>
    <row r="68" spans="1:17" s="36" customFormat="1" x14ac:dyDescent="0.25">
      <c r="A68" s="9"/>
      <c r="B68" s="9"/>
      <c r="C68" s="9"/>
      <c r="D68" s="9"/>
      <c r="E68" s="9"/>
      <c r="F68" s="9"/>
      <c r="G68" s="9"/>
      <c r="H68" s="9"/>
      <c r="I68" s="9"/>
      <c r="J68" s="115"/>
      <c r="N68" s="46"/>
      <c r="O68" s="9"/>
      <c r="P68" s="9"/>
      <c r="Q68" s="9"/>
    </row>
    <row r="69" spans="1:17" s="36" customFormat="1" x14ac:dyDescent="0.25">
      <c r="A69" s="9"/>
      <c r="B69" s="9"/>
      <c r="C69" s="9"/>
      <c r="D69" s="9"/>
      <c r="E69" s="9"/>
      <c r="F69" s="9"/>
      <c r="G69" s="9"/>
      <c r="H69" s="9"/>
      <c r="I69" s="9"/>
      <c r="J69" s="115"/>
      <c r="N69" s="46"/>
      <c r="O69" s="9"/>
      <c r="P69" s="9"/>
      <c r="Q69" s="9"/>
    </row>
    <row r="70" spans="1:17" s="36" customFormat="1" x14ac:dyDescent="0.25">
      <c r="A70" s="9"/>
      <c r="B70" s="9"/>
      <c r="C70" s="9"/>
      <c r="D70" s="9"/>
      <c r="E70" s="9"/>
      <c r="F70" s="9"/>
      <c r="G70" s="9"/>
      <c r="H70" s="9"/>
      <c r="I70" s="9"/>
      <c r="J70" s="115"/>
      <c r="N70" s="46"/>
      <c r="O70" s="9"/>
      <c r="P70" s="9"/>
      <c r="Q70" s="9"/>
    </row>
    <row r="71" spans="1:17" s="36" customFormat="1" x14ac:dyDescent="0.25">
      <c r="A71" s="9"/>
      <c r="B71" s="9"/>
      <c r="C71" s="9"/>
      <c r="D71" s="9"/>
      <c r="E71" s="9"/>
      <c r="F71" s="9"/>
      <c r="G71" s="9"/>
      <c r="H71" s="9"/>
      <c r="I71" s="9"/>
      <c r="J71" s="115"/>
      <c r="N71" s="46"/>
      <c r="O71" s="9"/>
      <c r="P71" s="9"/>
      <c r="Q71" s="9"/>
    </row>
    <row r="72" spans="1:17" s="36" customFormat="1" x14ac:dyDescent="0.25">
      <c r="A72" s="9"/>
      <c r="B72" s="9"/>
      <c r="C72" s="9"/>
      <c r="D72" s="9"/>
      <c r="E72" s="9"/>
      <c r="F72" s="9"/>
      <c r="G72" s="9"/>
      <c r="H72" s="9"/>
      <c r="I72" s="9"/>
      <c r="J72" s="115"/>
      <c r="N72" s="46"/>
      <c r="O72" s="9"/>
      <c r="P72" s="9"/>
      <c r="Q72" s="9"/>
    </row>
    <row r="73" spans="1:17" s="36" customFormat="1" x14ac:dyDescent="0.25">
      <c r="A73" s="9"/>
      <c r="B73" s="9"/>
      <c r="C73" s="9"/>
      <c r="D73" s="9"/>
      <c r="E73" s="9"/>
      <c r="F73" s="9"/>
      <c r="G73" s="9"/>
      <c r="H73" s="9"/>
      <c r="I73" s="9"/>
      <c r="J73" s="115"/>
      <c r="N73" s="46"/>
      <c r="O73" s="9"/>
      <c r="P73" s="9"/>
      <c r="Q73" s="9"/>
    </row>
    <row r="74" spans="1:17" s="36" customFormat="1" x14ac:dyDescent="0.25">
      <c r="A74" s="9"/>
      <c r="B74" s="9"/>
      <c r="C74" s="9"/>
      <c r="D74" s="9"/>
      <c r="E74" s="9"/>
      <c r="F74" s="9"/>
      <c r="G74" s="9"/>
      <c r="H74" s="9"/>
      <c r="I74" s="9"/>
      <c r="J74" s="115"/>
      <c r="N74" s="46"/>
      <c r="O74" s="9"/>
      <c r="P74" s="9"/>
      <c r="Q74" s="9"/>
    </row>
  </sheetData>
  <mergeCells count="25">
    <mergeCell ref="B45:F45"/>
    <mergeCell ref="B46:F46"/>
    <mergeCell ref="B47:F47"/>
    <mergeCell ref="B48:F48"/>
    <mergeCell ref="A6:I6"/>
    <mergeCell ref="A30:G30"/>
    <mergeCell ref="H30:I30"/>
    <mergeCell ref="B41:F41"/>
    <mergeCell ref="A43:G43"/>
    <mergeCell ref="H43:I43"/>
    <mergeCell ref="B44:F44"/>
    <mergeCell ref="B28:F28"/>
    <mergeCell ref="A4:M4"/>
    <mergeCell ref="A8:E8"/>
    <mergeCell ref="F8:G8"/>
    <mergeCell ref="A10:G10"/>
    <mergeCell ref="H10:I10"/>
    <mergeCell ref="B55:F55"/>
    <mergeCell ref="B56:F56"/>
    <mergeCell ref="B57:F57"/>
    <mergeCell ref="A51:G51"/>
    <mergeCell ref="H51:I51"/>
    <mergeCell ref="B52:F52"/>
    <mergeCell ref="B53:F53"/>
    <mergeCell ref="B54:F54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DDBB450-8256-440C-903B-A2174526626C}">
          <x14:formula1>
            <xm:f>'Info general'!$J$7:$J$15</xm:f>
          </x14:formula1>
          <xm:sqref>F8:G8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3168D-71E0-4BCC-9DF9-2239F4A68614}">
  <sheetPr>
    <pageSetUpPr fitToPage="1"/>
  </sheetPr>
  <dimension ref="A1:I63"/>
  <sheetViews>
    <sheetView zoomScale="85" zoomScaleNormal="85" workbookViewId="0">
      <selection activeCell="F13" sqref="F13"/>
    </sheetView>
  </sheetViews>
  <sheetFormatPr baseColWidth="10" defaultColWidth="10.85546875" defaultRowHeight="15" x14ac:dyDescent="0.25"/>
  <cols>
    <col min="1" max="1" width="46.5703125" style="66" customWidth="1"/>
    <col min="2" max="5" width="15.7109375" style="9" customWidth="1"/>
    <col min="6" max="6" width="31.42578125" style="53" customWidth="1"/>
    <col min="7" max="7" width="19.7109375" style="9" customWidth="1"/>
    <col min="8" max="16384" width="10.85546875" style="9"/>
  </cols>
  <sheetData>
    <row r="1" spans="1:8" ht="28.5" x14ac:dyDescent="0.25">
      <c r="A1" s="28" t="s">
        <v>113</v>
      </c>
      <c r="B1" s="5"/>
      <c r="C1" s="5"/>
      <c r="E1" s="76"/>
    </row>
    <row r="2" spans="1:8" x14ac:dyDescent="0.25">
      <c r="A2" s="1"/>
      <c r="B2" s="5"/>
      <c r="C2" s="5"/>
      <c r="E2" s="76"/>
    </row>
    <row r="3" spans="1:8" ht="18.75" x14ac:dyDescent="0.25">
      <c r="A3" s="29" t="s">
        <v>86</v>
      </c>
      <c r="E3" s="76"/>
    </row>
    <row r="4" spans="1:8" x14ac:dyDescent="0.25">
      <c r="A4" s="88"/>
      <c r="E4" s="76"/>
    </row>
    <row r="5" spans="1:8" ht="18.75" customHeight="1" x14ac:dyDescent="0.25">
      <c r="A5" s="89" t="s">
        <v>114</v>
      </c>
      <c r="B5" s="89"/>
      <c r="C5" s="89"/>
      <c r="D5" s="89"/>
      <c r="E5" s="89"/>
      <c r="F5" s="58"/>
      <c r="G5" s="38"/>
      <c r="H5" s="2"/>
    </row>
    <row r="6" spans="1:8" ht="18.75" customHeight="1" x14ac:dyDescent="0.25">
      <c r="A6" s="90"/>
      <c r="B6" s="14"/>
      <c r="C6" s="14"/>
      <c r="D6" s="14"/>
      <c r="E6" s="14"/>
      <c r="F6" s="57"/>
      <c r="G6" s="38"/>
      <c r="H6" s="2"/>
    </row>
    <row r="7" spans="1:8" ht="30" customHeight="1" x14ac:dyDescent="0.25">
      <c r="A7" s="91" t="s">
        <v>87</v>
      </c>
      <c r="B7" s="206" t="str">
        <f>'Info general'!C7</f>
        <v>Boutique de vente de poisson et de légumes, avec congélateur solaire. L’activité se complémente avec la viande (petite boucherie).</v>
      </c>
      <c r="C7" s="207"/>
      <c r="D7" s="207"/>
      <c r="E7" s="207"/>
      <c r="F7" s="208"/>
      <c r="G7" s="38"/>
    </row>
    <row r="8" spans="1:8" ht="18" customHeight="1" x14ac:dyDescent="0.25">
      <c r="A8" s="91" t="s">
        <v>115</v>
      </c>
      <c r="B8" s="209" t="str">
        <f>'Info general'!C8</f>
        <v>Club de mères - Barkeol Lakhda</v>
      </c>
      <c r="C8" s="210"/>
      <c r="D8" s="210"/>
      <c r="E8" s="210"/>
      <c r="F8" s="211"/>
      <c r="G8" s="38"/>
    </row>
    <row r="9" spans="1:8" s="3" customFormat="1" x14ac:dyDescent="0.25">
      <c r="A9" s="92" t="s">
        <v>31</v>
      </c>
      <c r="B9" s="63">
        <v>85000</v>
      </c>
      <c r="C9" s="93"/>
      <c r="D9" s="64"/>
      <c r="E9" s="64"/>
      <c r="F9" s="13"/>
      <c r="G9" s="38"/>
    </row>
    <row r="10" spans="1:8" s="3" customFormat="1" ht="15.75" x14ac:dyDescent="0.25">
      <c r="A10" s="94"/>
      <c r="B10" s="65"/>
      <c r="C10" s="65"/>
      <c r="D10" s="65"/>
      <c r="E10" s="65"/>
      <c r="F10" s="65"/>
      <c r="G10" s="38"/>
    </row>
    <row r="11" spans="1:8" ht="18.75" x14ac:dyDescent="0.25">
      <c r="A11" s="85" t="s">
        <v>109</v>
      </c>
      <c r="B11" s="75"/>
      <c r="C11" s="75"/>
      <c r="D11" s="75"/>
      <c r="E11" s="75"/>
      <c r="F11" s="58"/>
      <c r="G11" s="37"/>
    </row>
    <row r="12" spans="1:8" ht="14.45" customHeight="1" x14ac:dyDescent="0.25">
      <c r="A12" s="86" t="s">
        <v>2</v>
      </c>
      <c r="B12" s="6" t="s">
        <v>44</v>
      </c>
      <c r="C12" s="6" t="s">
        <v>3</v>
      </c>
      <c r="D12" s="6" t="s">
        <v>110</v>
      </c>
      <c r="E12" s="6" t="s">
        <v>111</v>
      </c>
      <c r="F12" s="87" t="s">
        <v>112</v>
      </c>
    </row>
    <row r="13" spans="1:8" x14ac:dyDescent="0.25">
      <c r="A13" s="66" t="str">
        <f>'Info general'!B17</f>
        <v>Thermo pour le transport 48 Kg.</v>
      </c>
      <c r="B13" s="45">
        <f>'Info general'!C17</f>
        <v>2</v>
      </c>
      <c r="C13" s="76" t="s">
        <v>107</v>
      </c>
      <c r="D13" s="32">
        <f>'Info general'!E17</f>
        <v>3500</v>
      </c>
      <c r="E13" s="32">
        <f t="shared" ref="E13:E16" si="0">B13*D13</f>
        <v>7000</v>
      </c>
      <c r="F13" s="46" t="s">
        <v>116</v>
      </c>
      <c r="G13" s="2"/>
    </row>
    <row r="14" spans="1:8" x14ac:dyDescent="0.25">
      <c r="A14" s="66" t="str">
        <f>'Info general'!B18</f>
        <v>Amenagement boutique (nattes, etc.)</v>
      </c>
      <c r="B14" s="45">
        <f>'Info general'!C18</f>
        <v>1</v>
      </c>
      <c r="C14" s="76" t="s">
        <v>107</v>
      </c>
      <c r="D14" s="32">
        <f>'Info general'!E18</f>
        <v>1400</v>
      </c>
      <c r="E14" s="32">
        <f t="shared" si="0"/>
        <v>1400</v>
      </c>
      <c r="F14" s="46" t="s">
        <v>116</v>
      </c>
      <c r="G14" s="2"/>
    </row>
    <row r="15" spans="1:8" x14ac:dyDescent="0.25">
      <c r="A15" s="66" t="str">
        <f>'Info general'!B19</f>
        <v>Equipment (balance, couteaux, table...)</v>
      </c>
      <c r="B15" s="45">
        <f>'Info general'!C19</f>
        <v>1</v>
      </c>
      <c r="C15" s="76" t="s">
        <v>107</v>
      </c>
      <c r="D15" s="32">
        <f>'Info general'!E19</f>
        <v>5500</v>
      </c>
      <c r="E15" s="32">
        <f t="shared" si="0"/>
        <v>5500</v>
      </c>
      <c r="F15" s="46" t="s">
        <v>116</v>
      </c>
      <c r="G15" s="2"/>
    </row>
    <row r="16" spans="1:8" ht="30" x14ac:dyDescent="0.25">
      <c r="A16" s="66" t="str">
        <f>'Info general'!B20</f>
        <v>Congelateur solaire 208 litres, avec panneaux, installation et transport</v>
      </c>
      <c r="B16" s="45">
        <f>'Info general'!C20</f>
        <v>1</v>
      </c>
      <c r="C16" s="76" t="s">
        <v>107</v>
      </c>
      <c r="D16" s="32">
        <f>'Info general'!E20</f>
        <v>54000</v>
      </c>
      <c r="E16" s="32">
        <f t="shared" si="0"/>
        <v>54000</v>
      </c>
      <c r="F16" s="46" t="s">
        <v>116</v>
      </c>
      <c r="G16" s="2"/>
    </row>
    <row r="17" spans="1:7" ht="30" x14ac:dyDescent="0.25">
      <c r="A17" s="66" t="str">
        <f>'Info general'!B21</f>
        <v>Forfait demarrage (transport materiels, visites fournisseurs, etc.)</v>
      </c>
      <c r="B17" s="45">
        <f>'Info general'!C21</f>
        <v>1</v>
      </c>
      <c r="C17" s="76" t="s">
        <v>107</v>
      </c>
      <c r="D17" s="32">
        <f>'Info general'!E21</f>
        <v>2000</v>
      </c>
      <c r="E17" s="32">
        <f t="shared" ref="E17" si="1">B17*D17</f>
        <v>2000</v>
      </c>
      <c r="F17" s="46" t="s">
        <v>116</v>
      </c>
      <c r="G17" s="2"/>
    </row>
    <row r="18" spans="1:7" x14ac:dyDescent="0.25">
      <c r="A18" s="84"/>
      <c r="B18" s="45"/>
      <c r="C18" s="76"/>
      <c r="D18" s="32"/>
      <c r="E18" s="32"/>
      <c r="F18" s="46"/>
      <c r="G18" s="2"/>
    </row>
    <row r="19" spans="1:7" s="99" customFormat="1" ht="15.75" x14ac:dyDescent="0.25">
      <c r="A19" s="95" t="s">
        <v>117</v>
      </c>
      <c r="B19" s="96"/>
      <c r="C19" s="96"/>
      <c r="D19" s="96"/>
      <c r="E19" s="97">
        <f>SUM(E13:E18)</f>
        <v>69900</v>
      </c>
      <c r="F19" s="98" t="s">
        <v>77</v>
      </c>
    </row>
    <row r="20" spans="1:7" s="67" customFormat="1" x14ac:dyDescent="0.25">
      <c r="A20" s="100"/>
      <c r="B20" s="76"/>
      <c r="D20" s="101"/>
      <c r="E20" s="101"/>
      <c r="F20" s="102"/>
    </row>
    <row r="21" spans="1:7" ht="18.75" x14ac:dyDescent="0.25">
      <c r="A21" s="85" t="s">
        <v>118</v>
      </c>
      <c r="B21" s="75"/>
      <c r="C21" s="75"/>
      <c r="D21" s="75"/>
      <c r="E21" s="75"/>
      <c r="F21" s="58"/>
      <c r="G21" s="37"/>
    </row>
    <row r="22" spans="1:7" ht="14.45" customHeight="1" x14ac:dyDescent="0.25">
      <c r="A22" s="86" t="s">
        <v>28</v>
      </c>
      <c r="B22" s="6" t="s">
        <v>44</v>
      </c>
      <c r="C22" s="6" t="s">
        <v>3</v>
      </c>
      <c r="D22" s="6" t="s">
        <v>110</v>
      </c>
      <c r="E22" s="6" t="s">
        <v>111</v>
      </c>
      <c r="F22" s="87" t="s">
        <v>112</v>
      </c>
    </row>
    <row r="23" spans="1:7" x14ac:dyDescent="0.25">
      <c r="A23" s="103" t="s">
        <v>5</v>
      </c>
      <c r="B23" s="21"/>
      <c r="C23" s="21"/>
      <c r="D23" s="26"/>
      <c r="E23" s="104">
        <f>E24</f>
        <v>0</v>
      </c>
      <c r="F23" s="105"/>
      <c r="G23" s="2"/>
    </row>
    <row r="24" spans="1:7" x14ac:dyDescent="0.25">
      <c r="A24" s="66" t="str">
        <f>'Plan economique (PAS)'!B11</f>
        <v>Location boutique</v>
      </c>
      <c r="B24" s="45">
        <f>'Plan economique (PAS)'!C11</f>
        <v>0</v>
      </c>
      <c r="C24" s="76" t="s">
        <v>137</v>
      </c>
      <c r="D24" s="32">
        <v>0</v>
      </c>
      <c r="E24" s="32">
        <f>B24*D24</f>
        <v>0</v>
      </c>
      <c r="F24" s="46" t="s">
        <v>125</v>
      </c>
      <c r="G24" s="2"/>
    </row>
    <row r="25" spans="1:7" x14ac:dyDescent="0.25">
      <c r="B25" s="76"/>
      <c r="C25" s="76"/>
      <c r="D25" s="32"/>
      <c r="E25" s="32"/>
      <c r="F25" s="46"/>
      <c r="G25" s="64"/>
    </row>
    <row r="26" spans="1:7" x14ac:dyDescent="0.25">
      <c r="A26" s="24" t="s">
        <v>126</v>
      </c>
      <c r="B26" s="21"/>
      <c r="C26" s="21"/>
      <c r="D26" s="26"/>
      <c r="E26" s="104">
        <f>SUM(E27:E32)</f>
        <v>14680</v>
      </c>
      <c r="F26" s="106"/>
    </row>
    <row r="27" spans="1:7" x14ac:dyDescent="0.25">
      <c r="A27" s="66" t="str">
        <f>'Plan economique (PAS)'!B15</f>
        <v>Poisson y compris la glace</v>
      </c>
      <c r="B27" s="45">
        <f>96</f>
        <v>96</v>
      </c>
      <c r="C27" s="76" t="str">
        <f>'Plan economique (PAS)'!D15</f>
        <v>kg</v>
      </c>
      <c r="D27" s="32">
        <f>'Plan economique (PAS)'!E15</f>
        <v>20</v>
      </c>
      <c r="E27" s="32">
        <f>B27*D27</f>
        <v>1920</v>
      </c>
      <c r="F27" s="46" t="s">
        <v>128</v>
      </c>
      <c r="G27" s="2"/>
    </row>
    <row r="28" spans="1:7" x14ac:dyDescent="0.25">
      <c r="A28" s="66" t="str">
        <f>'Plan economique (PAS)'!B16</f>
        <v>Légumes</v>
      </c>
      <c r="B28" s="45">
        <f>120</f>
        <v>120</v>
      </c>
      <c r="C28" s="76" t="str">
        <f>'Plan economique (PAS)'!D16</f>
        <v>kg</v>
      </c>
      <c r="D28" s="32">
        <f>'Plan economique (PAS)'!E16</f>
        <v>23</v>
      </c>
      <c r="E28" s="32">
        <f t="shared" ref="E28:E31" si="2">B28*D28</f>
        <v>2760</v>
      </c>
      <c r="F28" s="46" t="s">
        <v>128</v>
      </c>
    </row>
    <row r="29" spans="1:7" x14ac:dyDescent="0.25">
      <c r="A29" s="66" t="str">
        <f>'Plan economique (PAS)'!B17</f>
        <v>Transport</v>
      </c>
      <c r="B29" s="45">
        <v>1</v>
      </c>
      <c r="C29" s="76" t="str">
        <f>'Plan economique (PAS)'!D17</f>
        <v>transport</v>
      </c>
      <c r="D29" s="32">
        <f>'Plan economique (PAS)'!E17</f>
        <v>1600</v>
      </c>
      <c r="E29" s="32">
        <f t="shared" si="2"/>
        <v>1600</v>
      </c>
      <c r="F29" s="46" t="s">
        <v>128</v>
      </c>
    </row>
    <row r="30" spans="1:7" x14ac:dyDescent="0.25">
      <c r="A30" s="66" t="str">
        <f>'Plan economique (PAS)'!B19</f>
        <v>Chèvre (entre 17 et 20 kg)</v>
      </c>
      <c r="B30" s="45">
        <v>3</v>
      </c>
      <c r="C30" s="76" t="str">
        <f>'Plan economique (PAS)'!D19</f>
        <v>tête</v>
      </c>
      <c r="D30" s="32">
        <f>'Plan economique (PAS)'!E19</f>
        <v>2700</v>
      </c>
      <c r="E30" s="32">
        <f t="shared" si="2"/>
        <v>8100</v>
      </c>
      <c r="F30" s="107" t="s">
        <v>129</v>
      </c>
    </row>
    <row r="31" spans="1:7" x14ac:dyDescent="0.25">
      <c r="A31" s="66" t="str">
        <f>'Plan economique (PAS)'!B20</f>
        <v>Egorge chèvre</v>
      </c>
      <c r="B31" s="45">
        <v>3</v>
      </c>
      <c r="C31" s="76" t="str">
        <f>'Plan economique (PAS)'!D20</f>
        <v>service</v>
      </c>
      <c r="D31" s="32">
        <f>'Plan economique (PAS)'!E20</f>
        <v>100</v>
      </c>
      <c r="E31" s="32">
        <f t="shared" si="2"/>
        <v>300</v>
      </c>
      <c r="F31" s="107" t="s">
        <v>129</v>
      </c>
    </row>
    <row r="32" spans="1:7" x14ac:dyDescent="0.25">
      <c r="B32" s="76"/>
      <c r="C32" s="76"/>
      <c r="D32" s="32"/>
      <c r="E32" s="32"/>
      <c r="F32" s="107"/>
    </row>
    <row r="33" spans="1:9" x14ac:dyDescent="0.25">
      <c r="A33" s="24" t="s">
        <v>119</v>
      </c>
      <c r="B33" s="21"/>
      <c r="C33" s="21"/>
      <c r="D33" s="26"/>
      <c r="E33" s="104">
        <f>E34</f>
        <v>420</v>
      </c>
      <c r="F33" s="106"/>
    </row>
    <row r="34" spans="1:9" x14ac:dyDescent="0.25">
      <c r="A34" s="66" t="s">
        <v>120</v>
      </c>
      <c r="B34" s="45">
        <v>1</v>
      </c>
      <c r="C34" s="76" t="s">
        <v>105</v>
      </c>
      <c r="D34" s="32">
        <v>420</v>
      </c>
      <c r="E34" s="32">
        <f t="shared" ref="E34" si="3">B34*D34</f>
        <v>420</v>
      </c>
      <c r="F34" s="107" t="s">
        <v>106</v>
      </c>
    </row>
    <row r="35" spans="1:9" x14ac:dyDescent="0.25">
      <c r="B35" s="76"/>
      <c r="C35" s="76"/>
      <c r="D35" s="32"/>
      <c r="E35" s="32"/>
      <c r="F35" s="46"/>
    </row>
    <row r="36" spans="1:9" s="99" customFormat="1" ht="15.75" x14ac:dyDescent="0.25">
      <c r="A36" s="95" t="s">
        <v>121</v>
      </c>
      <c r="B36" s="96"/>
      <c r="C36" s="96"/>
      <c r="D36" s="96"/>
      <c r="E36" s="97">
        <f>E26+E23+E33</f>
        <v>15100</v>
      </c>
      <c r="F36" s="98"/>
    </row>
    <row r="37" spans="1:9" x14ac:dyDescent="0.25">
      <c r="A37" s="108"/>
      <c r="B37" s="3"/>
      <c r="C37" s="3"/>
      <c r="D37" s="3"/>
      <c r="G37" s="68"/>
      <c r="I37" s="69"/>
    </row>
    <row r="38" spans="1:9" ht="18.75" x14ac:dyDescent="0.25">
      <c r="A38" s="89" t="s">
        <v>69</v>
      </c>
      <c r="B38" s="89"/>
      <c r="C38" s="89"/>
      <c r="D38" s="89"/>
      <c r="E38" s="89"/>
      <c r="F38" s="89" t="s">
        <v>112</v>
      </c>
      <c r="G38" s="2"/>
      <c r="I38" s="69"/>
    </row>
    <row r="39" spans="1:9" x14ac:dyDescent="0.25">
      <c r="A39" s="109" t="str">
        <f>A19</f>
        <v>Total Investissement AGR couvert</v>
      </c>
      <c r="B39" s="109"/>
      <c r="C39" s="109"/>
      <c r="D39" s="109"/>
      <c r="E39" s="109">
        <f>E19</f>
        <v>69900</v>
      </c>
      <c r="F39" s="110" t="s">
        <v>116</v>
      </c>
      <c r="G39" s="68"/>
    </row>
    <row r="40" spans="1:9" x14ac:dyDescent="0.25">
      <c r="A40" s="109" t="str">
        <f>A23</f>
        <v>Coûts fixes</v>
      </c>
      <c r="B40" s="109"/>
      <c r="C40" s="109"/>
      <c r="D40" s="109"/>
      <c r="E40" s="111">
        <f>E23</f>
        <v>0</v>
      </c>
      <c r="F40" s="110" t="s">
        <v>101</v>
      </c>
    </row>
    <row r="41" spans="1:9" s="66" customFormat="1" x14ac:dyDescent="0.25">
      <c r="A41" s="109" t="str">
        <f>A26</f>
        <v>Coûts variables. Vente de poisson, légumes et boucherie, cycle hebdomadaire</v>
      </c>
      <c r="B41" s="109"/>
      <c r="C41" s="109"/>
      <c r="D41" s="109"/>
      <c r="E41" s="111">
        <f>E26</f>
        <v>14680</v>
      </c>
      <c r="F41" s="110" t="s">
        <v>106</v>
      </c>
    </row>
    <row r="42" spans="1:9" s="66" customFormat="1" x14ac:dyDescent="0.25">
      <c r="A42" s="109" t="str">
        <f>A33</f>
        <v>Autres</v>
      </c>
      <c r="B42" s="109"/>
      <c r="C42" s="109"/>
      <c r="D42" s="109"/>
      <c r="E42" s="111">
        <f t="shared" ref="E42" si="4">E33</f>
        <v>420</v>
      </c>
      <c r="F42" s="110" t="s">
        <v>106</v>
      </c>
    </row>
    <row r="43" spans="1:9" s="66" customFormat="1" x14ac:dyDescent="0.25">
      <c r="A43" s="109"/>
      <c r="B43" s="109"/>
      <c r="C43" s="109"/>
      <c r="D43" s="109"/>
      <c r="E43" s="111"/>
      <c r="F43" s="112"/>
    </row>
    <row r="44" spans="1:9" s="99" customFormat="1" ht="15.75" x14ac:dyDescent="0.25">
      <c r="A44" s="95" t="s">
        <v>122</v>
      </c>
      <c r="B44" s="96"/>
      <c r="C44" s="96"/>
      <c r="D44" s="96"/>
      <c r="E44" s="97">
        <f>SUM(E39:E43)</f>
        <v>85000</v>
      </c>
      <c r="F44" s="98"/>
    </row>
    <row r="45" spans="1:9" x14ac:dyDescent="0.25">
      <c r="E45" s="43"/>
      <c r="F45" s="113"/>
    </row>
    <row r="47" spans="1:9" x14ac:dyDescent="0.25">
      <c r="A47" s="69"/>
      <c r="B47" s="69"/>
    </row>
    <row r="49" spans="1:1" x14ac:dyDescent="0.25">
      <c r="A49" s="69"/>
    </row>
    <row r="58" spans="1:1" x14ac:dyDescent="0.25">
      <c r="A58" s="84"/>
    </row>
    <row r="59" spans="1:1" x14ac:dyDescent="0.25">
      <c r="A59" s="84"/>
    </row>
    <row r="60" spans="1:1" x14ac:dyDescent="0.25">
      <c r="A60" s="84"/>
    </row>
    <row r="61" spans="1:1" x14ac:dyDescent="0.25">
      <c r="A61" s="84"/>
    </row>
    <row r="62" spans="1:1" x14ac:dyDescent="0.25">
      <c r="A62" s="84"/>
    </row>
    <row r="63" spans="1:1" x14ac:dyDescent="0.25">
      <c r="A63" s="84"/>
    </row>
  </sheetData>
  <mergeCells count="2">
    <mergeCell ref="B7:F7"/>
    <mergeCell ref="B8:F8"/>
  </mergeCells>
  <pageMargins left="0.70866141732283472" right="0.70866141732283472" top="0.74803149606299213" bottom="0.74803149606299213" header="0.31496062992125984" footer="0.31496062992125984"/>
  <pageSetup paperSize="9" scale="61" fitToHeight="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Info general</vt:lpstr>
      <vt:lpstr>Plan economique (PAS)</vt:lpstr>
      <vt:lpstr>Plan economique (PAS) v2</vt:lpstr>
      <vt:lpstr>Apport CRM</vt:lpstr>
      <vt:lpstr>'Apport CRM'!Área_de_impresión</vt:lpstr>
      <vt:lpstr>'Info general'!Área_de_impresión</vt:lpstr>
      <vt:lpstr>'Plan economique (PAS)'!Área_de_impresión</vt:lpstr>
      <vt:lpstr>'Plan economique (PAS) v2'!Área_de_impresión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Pilar</dc:creator>
  <cp:lastModifiedBy>Gema Arranz</cp:lastModifiedBy>
  <cp:lastPrinted>2021-05-12T14:36:49Z</cp:lastPrinted>
  <dcterms:created xsi:type="dcterms:W3CDTF">2020-07-27T11:11:56Z</dcterms:created>
  <dcterms:modified xsi:type="dcterms:W3CDTF">2021-07-07T12:05:57Z</dcterms:modified>
</cp:coreProperties>
</file>