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_LRC\2. technical assistance\British RC SAHEL program\2. MAURITANIE clubs des meres\4. plan affaires\"/>
    </mc:Choice>
  </mc:AlternateContent>
  <xr:revisionPtr revIDLastSave="0" documentId="13_ncr:1_{359A1582-58C7-44C3-BFDF-505ED0130052}" xr6:coauthVersionLast="36" xr6:coauthVersionMax="36" xr10:uidLastSave="{00000000-0000-0000-0000-000000000000}"/>
  <bookViews>
    <workbookView xWindow="0" yWindow="465" windowWidth="28800" windowHeight="17460" xr2:uid="{00000000-000D-0000-FFFF-FFFF00000000}"/>
  </bookViews>
  <sheets>
    <sheet name="Info general" sheetId="17" r:id="rId1"/>
    <sheet name="Plan economique (PAS)" sheetId="18" r:id="rId2"/>
    <sheet name="Plan economique (PAS) 2" sheetId="19" state="hidden" r:id="rId3"/>
    <sheet name="Apport CRM" sheetId="20" r:id="rId4"/>
  </sheets>
  <definedNames>
    <definedName name="_xlnm._FilterDatabase" localSheetId="1" hidden="1">'Plan economique (PAS)'!$A$9:$I$94</definedName>
    <definedName name="_xlnm.Print_Area" localSheetId="0">'Info general'!$A$1:$H$24</definedName>
    <definedName name="_xlnm.Print_Area" localSheetId="1">'Plan economique (PAS)'!$A$1:$M$95</definedName>
    <definedName name="_xlnm.Print_Area" localSheetId="2">'Plan economique (PAS) 2'!$A$1:$M$85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99" i="18" l="1"/>
  <c r="L99" i="18"/>
  <c r="L98" i="18"/>
  <c r="K98" i="18"/>
  <c r="M102" i="18"/>
  <c r="L102" i="18"/>
  <c r="K102" i="18"/>
  <c r="M100" i="18"/>
  <c r="M101" i="18" s="1"/>
  <c r="L100" i="18"/>
  <c r="L101" i="18" s="1"/>
  <c r="K100" i="18"/>
  <c r="K101" i="18" s="1"/>
  <c r="H102" i="18"/>
  <c r="H101" i="18"/>
  <c r="H100" i="18"/>
  <c r="G82" i="18"/>
  <c r="G81" i="18"/>
  <c r="E82" i="18"/>
  <c r="G85" i="18"/>
  <c r="L85" i="18" s="1"/>
  <c r="M85" i="18" s="1"/>
  <c r="G84" i="18"/>
  <c r="L84" i="18" s="1"/>
  <c r="M84" i="18" s="1"/>
  <c r="G83" i="18"/>
  <c r="L83" i="18" s="1"/>
  <c r="M83" i="18" s="1"/>
  <c r="F30" i="17"/>
  <c r="H30" i="17" s="1"/>
  <c r="F29" i="17"/>
  <c r="H29" i="17" s="1"/>
  <c r="M103" i="18" l="1"/>
  <c r="H103" i="18"/>
  <c r="K103" i="18"/>
  <c r="L103" i="18"/>
  <c r="C47" i="18" l="1"/>
  <c r="G47" i="18" s="1"/>
  <c r="F31" i="17"/>
  <c r="H31" i="17" s="1"/>
  <c r="F28" i="17"/>
  <c r="H28" i="17" s="1"/>
  <c r="F27" i="17"/>
  <c r="H27" i="17" s="1"/>
  <c r="F26" i="17"/>
  <c r="F33" i="17" l="1"/>
  <c r="H26" i="17"/>
  <c r="H33" i="17"/>
  <c r="C35" i="18" l="1"/>
  <c r="G35" i="18" s="1"/>
  <c r="H35" i="18" s="1"/>
  <c r="C36" i="18"/>
  <c r="G36" i="18" s="1"/>
  <c r="H36" i="18" s="1"/>
  <c r="G11" i="18"/>
  <c r="H11" i="18" s="1"/>
  <c r="C12" i="18"/>
  <c r="G12" i="18" s="1"/>
  <c r="G16" i="18"/>
  <c r="H16" i="18" s="1"/>
  <c r="K16" i="18" s="1"/>
  <c r="G17" i="18"/>
  <c r="H17" i="18" s="1"/>
  <c r="K17" i="18" s="1"/>
  <c r="L17" i="18" s="1"/>
  <c r="M17" i="18" s="1"/>
  <c r="G18" i="18"/>
  <c r="H18" i="18" s="1"/>
  <c r="K18" i="18" s="1"/>
  <c r="L18" i="18" s="1"/>
  <c r="M18" i="18" s="1"/>
  <c r="G19" i="18"/>
  <c r="H19" i="18" s="1"/>
  <c r="E20" i="18"/>
  <c r="G20" i="18" s="1"/>
  <c r="H20" i="18" s="1"/>
  <c r="G23" i="18"/>
  <c r="H23" i="18" s="1"/>
  <c r="G24" i="18"/>
  <c r="H24" i="18" s="1"/>
  <c r="G25" i="18"/>
  <c r="H25" i="18" s="1"/>
  <c r="K25" i="18" s="1"/>
  <c r="L25" i="18" s="1"/>
  <c r="M25" i="18" s="1"/>
  <c r="G26" i="18"/>
  <c r="H26" i="18" s="1"/>
  <c r="K26" i="18" s="1"/>
  <c r="L26" i="18" s="1"/>
  <c r="M26" i="18" s="1"/>
  <c r="G27" i="18"/>
  <c r="H27" i="18" s="1"/>
  <c r="G28" i="18"/>
  <c r="H28" i="18" s="1"/>
  <c r="G29" i="18"/>
  <c r="H29" i="18" s="1"/>
  <c r="G30" i="18"/>
  <c r="H30" i="18" s="1"/>
  <c r="E31" i="18"/>
  <c r="D41" i="20" s="1"/>
  <c r="G31" i="18"/>
  <c r="H31" i="18" s="1"/>
  <c r="G32" i="18"/>
  <c r="H32" i="18" s="1"/>
  <c r="K32" i="18" s="1"/>
  <c r="L32" i="18" s="1"/>
  <c r="M32" i="18" s="1"/>
  <c r="G33" i="18"/>
  <c r="H33" i="18" s="1"/>
  <c r="K33" i="18" s="1"/>
  <c r="L33" i="18" s="1"/>
  <c r="M33" i="18" s="1"/>
  <c r="E34" i="18"/>
  <c r="G34" i="18" s="1"/>
  <c r="H34" i="18" s="1"/>
  <c r="G37" i="18"/>
  <c r="H37" i="18" s="1"/>
  <c r="G38" i="18"/>
  <c r="H38" i="18" s="1"/>
  <c r="G39" i="18"/>
  <c r="H39" i="18" s="1"/>
  <c r="K39" i="18" s="1"/>
  <c r="L39" i="18" s="1"/>
  <c r="M39" i="18" s="1"/>
  <c r="E40" i="18"/>
  <c r="D54" i="20" s="1"/>
  <c r="G40" i="18"/>
  <c r="H40" i="18" s="1"/>
  <c r="K40" i="18" s="1"/>
  <c r="L40" i="18" s="1"/>
  <c r="M40" i="18" s="1"/>
  <c r="G41" i="18"/>
  <c r="H41" i="18" s="1"/>
  <c r="K41" i="18" s="1"/>
  <c r="L41" i="18" s="1"/>
  <c r="M41" i="18" s="1"/>
  <c r="G42" i="18"/>
  <c r="H42" i="18" s="1"/>
  <c r="G43" i="18"/>
  <c r="H43" i="18" s="1"/>
  <c r="G44" i="18"/>
  <c r="H44" i="18" s="1"/>
  <c r="E70" i="18"/>
  <c r="C54" i="18"/>
  <c r="G54" i="18"/>
  <c r="G55" i="18"/>
  <c r="H55" i="18" s="1"/>
  <c r="K55" i="18" s="1"/>
  <c r="L55" i="18" s="1"/>
  <c r="M55" i="18" s="1"/>
  <c r="C58" i="18"/>
  <c r="E58" i="18"/>
  <c r="G58" i="18"/>
  <c r="C59" i="18"/>
  <c r="G59" i="18" s="1"/>
  <c r="H59" i="18" s="1"/>
  <c r="C60" i="18"/>
  <c r="G60" i="18"/>
  <c r="H60" i="18" s="1"/>
  <c r="K60" i="18" s="1"/>
  <c r="L60" i="18" s="1"/>
  <c r="M60" i="18" s="1"/>
  <c r="C61" i="18"/>
  <c r="G61" i="18" s="1"/>
  <c r="H61" i="18" s="1"/>
  <c r="K61" i="18" s="1"/>
  <c r="L61" i="18" s="1"/>
  <c r="M61" i="18" s="1"/>
  <c r="C62" i="18"/>
  <c r="G62" i="18" s="1"/>
  <c r="H62" i="18" s="1"/>
  <c r="C63" i="18"/>
  <c r="G63" i="18" s="1"/>
  <c r="H63" i="18" s="1"/>
  <c r="C64" i="18"/>
  <c r="G64" i="18" s="1"/>
  <c r="H64" i="18" s="1"/>
  <c r="C65" i="18"/>
  <c r="G65" i="18" s="1"/>
  <c r="H65" i="18" s="1"/>
  <c r="K65" i="18" s="1"/>
  <c r="L65" i="18" s="1"/>
  <c r="M65" i="18" s="1"/>
  <c r="C66" i="18"/>
  <c r="G66" i="18" s="1"/>
  <c r="H66" i="18" s="1"/>
  <c r="C67" i="18"/>
  <c r="G67" i="18" s="1"/>
  <c r="H67" i="18" s="1"/>
  <c r="K67" i="18" s="1"/>
  <c r="L67" i="18" s="1"/>
  <c r="M67" i="18" s="1"/>
  <c r="E67" i="18"/>
  <c r="C68" i="18"/>
  <c r="G68" i="18" s="1"/>
  <c r="H68" i="18" s="1"/>
  <c r="C69" i="18"/>
  <c r="G69" i="18" s="1"/>
  <c r="H69" i="18" s="1"/>
  <c r="C72" i="18"/>
  <c r="G72" i="18" s="1"/>
  <c r="H72" i="18" s="1"/>
  <c r="C73" i="18"/>
  <c r="G73" i="18"/>
  <c r="G74" i="18"/>
  <c r="H74" i="18" s="1"/>
  <c r="K74" i="18" s="1"/>
  <c r="L74" i="18" s="1"/>
  <c r="M74" i="18" s="1"/>
  <c r="C75" i="18"/>
  <c r="G75" i="18" s="1"/>
  <c r="H75" i="18" s="1"/>
  <c r="K75" i="18" s="1"/>
  <c r="L75" i="18" s="1"/>
  <c r="M75" i="18" s="1"/>
  <c r="C76" i="18"/>
  <c r="G76" i="18" s="1"/>
  <c r="H76" i="18" s="1"/>
  <c r="C77" i="18"/>
  <c r="G77" i="18" s="1"/>
  <c r="H77" i="18" s="1"/>
  <c r="B24" i="20"/>
  <c r="D24" i="20"/>
  <c r="B52" i="20"/>
  <c r="D52" i="20"/>
  <c r="B53" i="20"/>
  <c r="D53" i="20"/>
  <c r="B54" i="20"/>
  <c r="B55" i="20"/>
  <c r="D55" i="20"/>
  <c r="B56" i="20"/>
  <c r="D56" i="20"/>
  <c r="B57" i="20"/>
  <c r="D57" i="20"/>
  <c r="D47" i="20"/>
  <c r="E47" i="20" s="1"/>
  <c r="D48" i="20"/>
  <c r="E48" i="20" s="1"/>
  <c r="B49" i="20"/>
  <c r="D49" i="20"/>
  <c r="B33" i="20"/>
  <c r="D33" i="20"/>
  <c r="D34" i="20"/>
  <c r="E34" i="20" s="1"/>
  <c r="B35" i="20"/>
  <c r="D35" i="20"/>
  <c r="D36" i="20"/>
  <c r="E36" i="20" s="1"/>
  <c r="D37" i="20"/>
  <c r="E37" i="20" s="1"/>
  <c r="B38" i="20"/>
  <c r="D38" i="20"/>
  <c r="B39" i="20"/>
  <c r="D39" i="20"/>
  <c r="B40" i="20"/>
  <c r="D40" i="20"/>
  <c r="B41" i="20"/>
  <c r="B42" i="20"/>
  <c r="D42" i="20"/>
  <c r="B43" i="20"/>
  <c r="D43" i="20"/>
  <c r="B44" i="20"/>
  <c r="B27" i="20"/>
  <c r="D27" i="20"/>
  <c r="B28" i="20"/>
  <c r="D28" i="20"/>
  <c r="E28" i="20" s="1"/>
  <c r="B29" i="20"/>
  <c r="D29" i="20"/>
  <c r="B30" i="20"/>
  <c r="D30" i="20"/>
  <c r="E60" i="20"/>
  <c r="E59" i="20"/>
  <c r="A71" i="20"/>
  <c r="A70" i="20"/>
  <c r="A69" i="20"/>
  <c r="A68" i="20"/>
  <c r="A67" i="20"/>
  <c r="A66" i="20"/>
  <c r="B13" i="20"/>
  <c r="D13" i="20"/>
  <c r="B14" i="20"/>
  <c r="E14" i="20" s="1"/>
  <c r="D14" i="20"/>
  <c r="B15" i="20"/>
  <c r="B16" i="20"/>
  <c r="D16" i="20"/>
  <c r="E16" i="20" s="1"/>
  <c r="B17" i="20"/>
  <c r="A65" i="20"/>
  <c r="A53" i="20"/>
  <c r="A54" i="20"/>
  <c r="A55" i="20"/>
  <c r="A56" i="20"/>
  <c r="A57" i="20"/>
  <c r="A33" i="20"/>
  <c r="C33" i="20"/>
  <c r="A47" i="20"/>
  <c r="C47" i="20"/>
  <c r="A48" i="20"/>
  <c r="C48" i="20"/>
  <c r="B8" i="20"/>
  <c r="B7" i="20"/>
  <c r="E21" i="17"/>
  <c r="D17" i="20" s="1"/>
  <c r="E17" i="17"/>
  <c r="E19" i="17"/>
  <c r="D15" i="20" s="1"/>
  <c r="E20" i="17"/>
  <c r="A13" i="20"/>
  <c r="A14" i="20"/>
  <c r="A15" i="20"/>
  <c r="A16" i="20"/>
  <c r="A17" i="20"/>
  <c r="F16" i="17"/>
  <c r="F23" i="17" s="1"/>
  <c r="H87" i="19" s="1"/>
  <c r="F17" i="17"/>
  <c r="F18" i="17"/>
  <c r="F19" i="17"/>
  <c r="F20" i="17"/>
  <c r="F21" i="17"/>
  <c r="C55" i="20"/>
  <c r="C56" i="20"/>
  <c r="C57" i="20"/>
  <c r="A43" i="20"/>
  <c r="C43" i="20"/>
  <c r="A44" i="20"/>
  <c r="C44" i="20"/>
  <c r="A49" i="20"/>
  <c r="C49" i="20"/>
  <c r="A52" i="20"/>
  <c r="C52" i="20"/>
  <c r="C53" i="20"/>
  <c r="C54" i="20"/>
  <c r="A28" i="20"/>
  <c r="C28" i="20"/>
  <c r="A29" i="20"/>
  <c r="C29" i="20"/>
  <c r="A30" i="20"/>
  <c r="C30" i="20"/>
  <c r="A34" i="20"/>
  <c r="C34" i="20"/>
  <c r="A35" i="20"/>
  <c r="C35" i="20"/>
  <c r="A36" i="20"/>
  <c r="C36" i="20"/>
  <c r="A37" i="20"/>
  <c r="C37" i="20"/>
  <c r="A38" i="20"/>
  <c r="C38" i="20"/>
  <c r="A39" i="20"/>
  <c r="C39" i="20"/>
  <c r="A40" i="20"/>
  <c r="C40" i="20"/>
  <c r="A41" i="20"/>
  <c r="C41" i="20"/>
  <c r="A42" i="20"/>
  <c r="C42" i="20"/>
  <c r="C27" i="20"/>
  <c r="A27" i="20"/>
  <c r="C24" i="20"/>
  <c r="A24" i="20"/>
  <c r="C12" i="19"/>
  <c r="G12" i="19"/>
  <c r="H12" i="19"/>
  <c r="G11" i="19"/>
  <c r="H11" i="19"/>
  <c r="C35" i="19"/>
  <c r="C68" i="19" s="1"/>
  <c r="G68" i="19" s="1"/>
  <c r="H68" i="19" s="1"/>
  <c r="G35" i="19"/>
  <c r="H35" i="19" s="1"/>
  <c r="C36" i="19"/>
  <c r="G36" i="19" s="1"/>
  <c r="H36" i="19" s="1"/>
  <c r="G16" i="19"/>
  <c r="G17" i="19"/>
  <c r="G18" i="19"/>
  <c r="G19" i="19"/>
  <c r="G20" i="19"/>
  <c r="G23" i="19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E31" i="19"/>
  <c r="G31" i="19"/>
  <c r="H31" i="19"/>
  <c r="G32" i="19"/>
  <c r="H32" i="19"/>
  <c r="G33" i="19"/>
  <c r="H33" i="19"/>
  <c r="E34" i="19"/>
  <c r="G34" i="19"/>
  <c r="H34" i="19"/>
  <c r="G37" i="19"/>
  <c r="H37" i="19"/>
  <c r="G38" i="19"/>
  <c r="H38" i="19"/>
  <c r="G39" i="19"/>
  <c r="H39" i="19"/>
  <c r="G40" i="19"/>
  <c r="H40" i="19"/>
  <c r="E41" i="19"/>
  <c r="G41" i="19"/>
  <c r="H41" i="19"/>
  <c r="G42" i="19"/>
  <c r="H42" i="19"/>
  <c r="G43" i="19"/>
  <c r="H43" i="19"/>
  <c r="G44" i="19"/>
  <c r="H44" i="19"/>
  <c r="G45" i="19"/>
  <c r="H45" i="19"/>
  <c r="H46" i="19"/>
  <c r="G10" i="19"/>
  <c r="H10" i="19"/>
  <c r="G13" i="19"/>
  <c r="H13" i="19"/>
  <c r="C52" i="19"/>
  <c r="G52" i="19"/>
  <c r="H52" i="19"/>
  <c r="M5" i="19"/>
  <c r="K52" i="19"/>
  <c r="L52" i="19"/>
  <c r="M52" i="19"/>
  <c r="G53" i="19"/>
  <c r="H53" i="19"/>
  <c r="K53" i="19"/>
  <c r="L53" i="19"/>
  <c r="M53" i="19"/>
  <c r="C56" i="19"/>
  <c r="E56" i="19"/>
  <c r="G56" i="19"/>
  <c r="H56" i="19"/>
  <c r="K56" i="19"/>
  <c r="L56" i="19"/>
  <c r="M56" i="19"/>
  <c r="C57" i="19"/>
  <c r="G57" i="19"/>
  <c r="H57" i="19"/>
  <c r="K57" i="19"/>
  <c r="L57" i="19"/>
  <c r="M57" i="19"/>
  <c r="C58" i="19"/>
  <c r="G58" i="19"/>
  <c r="H58" i="19"/>
  <c r="K58" i="19"/>
  <c r="L58" i="19"/>
  <c r="M58" i="19"/>
  <c r="C59" i="19"/>
  <c r="G59" i="19"/>
  <c r="H59" i="19"/>
  <c r="K59" i="19"/>
  <c r="L59" i="19"/>
  <c r="M59" i="19"/>
  <c r="C60" i="19"/>
  <c r="G60" i="19"/>
  <c r="H60" i="19"/>
  <c r="K60" i="19"/>
  <c r="L60" i="19"/>
  <c r="M60" i="19"/>
  <c r="C61" i="19"/>
  <c r="G61" i="19"/>
  <c r="H61" i="19"/>
  <c r="K61" i="19"/>
  <c r="L61" i="19"/>
  <c r="M61" i="19"/>
  <c r="C62" i="19"/>
  <c r="G62" i="19"/>
  <c r="H62" i="19"/>
  <c r="K62" i="19"/>
  <c r="L62" i="19"/>
  <c r="M62" i="19"/>
  <c r="C63" i="19"/>
  <c r="G63" i="19"/>
  <c r="H63" i="19"/>
  <c r="K63" i="19"/>
  <c r="L63" i="19"/>
  <c r="M63" i="19"/>
  <c r="C64" i="19"/>
  <c r="G64" i="19"/>
  <c r="H64" i="19"/>
  <c r="K64" i="19"/>
  <c r="L64" i="19"/>
  <c r="M64" i="19"/>
  <c r="C65" i="19"/>
  <c r="E65" i="19"/>
  <c r="G65" i="19"/>
  <c r="H65" i="19"/>
  <c r="K65" i="19"/>
  <c r="L65" i="19"/>
  <c r="M65" i="19"/>
  <c r="C66" i="19"/>
  <c r="G66" i="19"/>
  <c r="H66" i="19"/>
  <c r="K66" i="19"/>
  <c r="L66" i="19"/>
  <c r="M66" i="19"/>
  <c r="C67" i="19"/>
  <c r="G67" i="19"/>
  <c r="H67" i="19"/>
  <c r="K67" i="19"/>
  <c r="L67" i="19"/>
  <c r="M67" i="19"/>
  <c r="E68" i="19"/>
  <c r="C70" i="19"/>
  <c r="G70" i="19"/>
  <c r="H70" i="19"/>
  <c r="K70" i="19"/>
  <c r="L70" i="19"/>
  <c r="M70" i="19"/>
  <c r="C71" i="19"/>
  <c r="G71" i="19"/>
  <c r="H71" i="19"/>
  <c r="K71" i="19"/>
  <c r="L71" i="19"/>
  <c r="M71" i="19"/>
  <c r="G72" i="19"/>
  <c r="H72" i="19"/>
  <c r="K72" i="19"/>
  <c r="L72" i="19"/>
  <c r="M72" i="19"/>
  <c r="C73" i="19"/>
  <c r="G73" i="19"/>
  <c r="H73" i="19"/>
  <c r="K73" i="19"/>
  <c r="L73" i="19"/>
  <c r="M73" i="19"/>
  <c r="C74" i="19"/>
  <c r="G74" i="19"/>
  <c r="H74" i="19"/>
  <c r="K74" i="19"/>
  <c r="L74" i="19"/>
  <c r="M74" i="19"/>
  <c r="C75" i="19"/>
  <c r="G75" i="19"/>
  <c r="H75" i="19"/>
  <c r="K75" i="19"/>
  <c r="L75" i="19"/>
  <c r="M75" i="19"/>
  <c r="K10" i="19"/>
  <c r="L10" i="19"/>
  <c r="M10" i="19"/>
  <c r="K11" i="19"/>
  <c r="L11" i="19"/>
  <c r="M11" i="19"/>
  <c r="K12" i="19"/>
  <c r="L12" i="19"/>
  <c r="M12" i="19"/>
  <c r="K13" i="19"/>
  <c r="L13" i="19"/>
  <c r="M13" i="19"/>
  <c r="K14" i="19"/>
  <c r="L14" i="19"/>
  <c r="M14" i="19"/>
  <c r="H16" i="19"/>
  <c r="K16" i="19"/>
  <c r="L16" i="19"/>
  <c r="M16" i="19"/>
  <c r="H17" i="19"/>
  <c r="K17" i="19"/>
  <c r="L17" i="19"/>
  <c r="M17" i="19"/>
  <c r="H18" i="19"/>
  <c r="K18" i="19"/>
  <c r="L18" i="19"/>
  <c r="M18" i="19"/>
  <c r="H19" i="19"/>
  <c r="K19" i="19"/>
  <c r="L19" i="19"/>
  <c r="M19" i="19"/>
  <c r="H20" i="19"/>
  <c r="K20" i="19"/>
  <c r="L20" i="19"/>
  <c r="M20" i="19"/>
  <c r="K23" i="19"/>
  <c r="L23" i="19"/>
  <c r="M23" i="19"/>
  <c r="K24" i="19"/>
  <c r="L24" i="19"/>
  <c r="M24" i="19"/>
  <c r="K25" i="19"/>
  <c r="L25" i="19"/>
  <c r="M25" i="19"/>
  <c r="K26" i="19"/>
  <c r="L26" i="19"/>
  <c r="M26" i="19"/>
  <c r="K27" i="19"/>
  <c r="L27" i="19"/>
  <c r="M27" i="19"/>
  <c r="K28" i="19"/>
  <c r="L28" i="19"/>
  <c r="M28" i="19"/>
  <c r="K29" i="19"/>
  <c r="L29" i="19"/>
  <c r="M29" i="19"/>
  <c r="K30" i="19"/>
  <c r="L30" i="19"/>
  <c r="M30" i="19"/>
  <c r="K31" i="19"/>
  <c r="L31" i="19"/>
  <c r="M31" i="19"/>
  <c r="K32" i="19"/>
  <c r="L32" i="19"/>
  <c r="M32" i="19"/>
  <c r="K33" i="19"/>
  <c r="L33" i="19"/>
  <c r="M33" i="19"/>
  <c r="K34" i="19"/>
  <c r="L34" i="19"/>
  <c r="M34" i="19"/>
  <c r="K37" i="19"/>
  <c r="L37" i="19"/>
  <c r="M37" i="19"/>
  <c r="K38" i="19"/>
  <c r="L38" i="19"/>
  <c r="M38" i="19"/>
  <c r="K39" i="19"/>
  <c r="L39" i="19"/>
  <c r="M39" i="19"/>
  <c r="K40" i="19"/>
  <c r="L40" i="19"/>
  <c r="M40" i="19"/>
  <c r="K41" i="19"/>
  <c r="L41" i="19"/>
  <c r="M41" i="19"/>
  <c r="K42" i="19"/>
  <c r="L42" i="19"/>
  <c r="M42" i="19"/>
  <c r="K43" i="19"/>
  <c r="L43" i="19"/>
  <c r="M43" i="19"/>
  <c r="K44" i="19"/>
  <c r="L44" i="19"/>
  <c r="M44" i="19"/>
  <c r="K45" i="19"/>
  <c r="L45" i="19"/>
  <c r="M45" i="19"/>
  <c r="H16" i="17"/>
  <c r="H23" i="17" s="1"/>
  <c r="H17" i="17"/>
  <c r="H18" i="17"/>
  <c r="H19" i="17"/>
  <c r="H20" i="17"/>
  <c r="I75" i="19"/>
  <c r="I74" i="19"/>
  <c r="I73" i="19"/>
  <c r="I72" i="19"/>
  <c r="I71" i="19"/>
  <c r="I67" i="19"/>
  <c r="I66" i="19"/>
  <c r="I65" i="19"/>
  <c r="I64" i="19"/>
  <c r="I63" i="19"/>
  <c r="I62" i="19"/>
  <c r="I61" i="19"/>
  <c r="I60" i="19"/>
  <c r="I59" i="19"/>
  <c r="I57" i="19"/>
  <c r="I56" i="19"/>
  <c r="I53" i="19"/>
  <c r="D53" i="19"/>
  <c r="I52" i="19"/>
  <c r="D52" i="19"/>
  <c r="M6" i="18"/>
  <c r="L47" i="18" s="1"/>
  <c r="M47" i="18" s="1"/>
  <c r="D55" i="18"/>
  <c r="D54" i="18"/>
  <c r="L16" i="18" l="1"/>
  <c r="M16" i="18" s="1"/>
  <c r="H58" i="18"/>
  <c r="E81" i="18"/>
  <c r="L81" i="18" s="1"/>
  <c r="M81" i="18" s="1"/>
  <c r="H73" i="18"/>
  <c r="K73" i="18" s="1"/>
  <c r="L73" i="18" s="1"/>
  <c r="M73" i="18" s="1"/>
  <c r="L82" i="18"/>
  <c r="M82" i="18" s="1"/>
  <c r="E80" i="18"/>
  <c r="E40" i="20"/>
  <c r="E35" i="20"/>
  <c r="H54" i="18"/>
  <c r="G80" i="18"/>
  <c r="L80" i="18" s="1"/>
  <c r="M83" i="19"/>
  <c r="L93" i="18"/>
  <c r="L83" i="19"/>
  <c r="M93" i="18"/>
  <c r="E15" i="20"/>
  <c r="E17" i="20"/>
  <c r="C71" i="18"/>
  <c r="G71" i="18" s="1"/>
  <c r="H71" i="18" s="1"/>
  <c r="K71" i="18" s="1"/>
  <c r="L71" i="18" s="1"/>
  <c r="M71" i="18" s="1"/>
  <c r="K12" i="18"/>
  <c r="L12" i="18" s="1"/>
  <c r="H12" i="18"/>
  <c r="E43" i="20"/>
  <c r="K66" i="18"/>
  <c r="L66" i="18" s="1"/>
  <c r="M66" i="18" s="1"/>
  <c r="K24" i="18"/>
  <c r="L24" i="18" s="1"/>
  <c r="M24" i="18" s="1"/>
  <c r="K59" i="18"/>
  <c r="L59" i="18" s="1"/>
  <c r="M59" i="18" s="1"/>
  <c r="K23" i="18"/>
  <c r="L23" i="18" s="1"/>
  <c r="M23" i="18" s="1"/>
  <c r="K69" i="18"/>
  <c r="L69" i="18" s="1"/>
  <c r="M69" i="18" s="1"/>
  <c r="K64" i="18"/>
  <c r="L64" i="18" s="1"/>
  <c r="M64" i="18" s="1"/>
  <c r="K44" i="18"/>
  <c r="L44" i="18" s="1"/>
  <c r="M44" i="18" s="1"/>
  <c r="K38" i="18"/>
  <c r="L38" i="18" s="1"/>
  <c r="M38" i="18" s="1"/>
  <c r="K29" i="18"/>
  <c r="L29" i="18" s="1"/>
  <c r="M29" i="18" s="1"/>
  <c r="K19" i="18"/>
  <c r="L19" i="18" s="1"/>
  <c r="M19" i="18" s="1"/>
  <c r="K11" i="18"/>
  <c r="L11" i="18" s="1"/>
  <c r="M11" i="18" s="1"/>
  <c r="E39" i="20"/>
  <c r="K31" i="18"/>
  <c r="L31" i="18" s="1"/>
  <c r="M31" i="18" s="1"/>
  <c r="K14" i="18"/>
  <c r="L14" i="18" s="1"/>
  <c r="M14" i="18" s="1"/>
  <c r="K72" i="18"/>
  <c r="L72" i="18" s="1"/>
  <c r="M72" i="18" s="1"/>
  <c r="K58" i="18"/>
  <c r="L58" i="18" s="1"/>
  <c r="M58" i="18" s="1"/>
  <c r="K30" i="18"/>
  <c r="L30" i="18" s="1"/>
  <c r="M30" i="18" s="1"/>
  <c r="K77" i="18"/>
  <c r="L77" i="18" s="1"/>
  <c r="M77" i="18" s="1"/>
  <c r="K68" i="18"/>
  <c r="L68" i="18" s="1"/>
  <c r="M68" i="18" s="1"/>
  <c r="K63" i="18"/>
  <c r="L63" i="18" s="1"/>
  <c r="M63" i="18" s="1"/>
  <c r="K43" i="18"/>
  <c r="L43" i="18" s="1"/>
  <c r="M43" i="18" s="1"/>
  <c r="K37" i="18"/>
  <c r="L37" i="18" s="1"/>
  <c r="M37" i="18" s="1"/>
  <c r="K28" i="18"/>
  <c r="L28" i="18" s="1"/>
  <c r="M28" i="18" s="1"/>
  <c r="K36" i="18"/>
  <c r="L36" i="18" s="1"/>
  <c r="M36" i="18" s="1"/>
  <c r="K20" i="18"/>
  <c r="L20" i="18" s="1"/>
  <c r="M20" i="18" s="1"/>
  <c r="K76" i="18"/>
  <c r="L76" i="18" s="1"/>
  <c r="M76" i="18" s="1"/>
  <c r="K62" i="18"/>
  <c r="L62" i="18" s="1"/>
  <c r="M62" i="18" s="1"/>
  <c r="K42" i="18"/>
  <c r="L42" i="18" s="1"/>
  <c r="M42" i="18" s="1"/>
  <c r="K34" i="18"/>
  <c r="L34" i="18" s="1"/>
  <c r="M34" i="18" s="1"/>
  <c r="K27" i="18"/>
  <c r="L27" i="18" s="1"/>
  <c r="M27" i="18" s="1"/>
  <c r="E30" i="20"/>
  <c r="E57" i="20"/>
  <c r="E29" i="20"/>
  <c r="E24" i="20"/>
  <c r="E23" i="20" s="1"/>
  <c r="E66" i="20" s="1"/>
  <c r="E52" i="20"/>
  <c r="E41" i="20"/>
  <c r="E56" i="20"/>
  <c r="E38" i="20"/>
  <c r="E42" i="20"/>
  <c r="E49" i="20"/>
  <c r="E46" i="20" s="1"/>
  <c r="E69" i="20" s="1"/>
  <c r="E55" i="20"/>
  <c r="E27" i="20"/>
  <c r="E54" i="20"/>
  <c r="E53" i="20"/>
  <c r="E33" i="20"/>
  <c r="E13" i="20"/>
  <c r="D44" i="20"/>
  <c r="E44" i="20" s="1"/>
  <c r="H49" i="18"/>
  <c r="H90" i="18" s="1"/>
  <c r="K35" i="18"/>
  <c r="K36" i="19"/>
  <c r="L36" i="19" s="1"/>
  <c r="M36" i="19" s="1"/>
  <c r="I70" i="19"/>
  <c r="H47" i="19"/>
  <c r="H80" i="19" s="1"/>
  <c r="H88" i="19"/>
  <c r="K35" i="19"/>
  <c r="K68" i="19"/>
  <c r="I68" i="19"/>
  <c r="C69" i="19"/>
  <c r="G69" i="19" s="1"/>
  <c r="H69" i="19" s="1"/>
  <c r="C70" i="18"/>
  <c r="G70" i="18" s="1"/>
  <c r="H70" i="18" s="1"/>
  <c r="E71" i="20"/>
  <c r="K54" i="18" l="1"/>
  <c r="H87" i="18"/>
  <c r="K49" i="18"/>
  <c r="M12" i="18"/>
  <c r="M80" i="18"/>
  <c r="E19" i="20"/>
  <c r="E65" i="20" s="1"/>
  <c r="E26" i="20"/>
  <c r="E67" i="20" s="1"/>
  <c r="E51" i="20"/>
  <c r="E70" i="20" s="1"/>
  <c r="E32" i="20"/>
  <c r="E68" i="20" s="1"/>
  <c r="K77" i="19"/>
  <c r="K81" i="19" s="1"/>
  <c r="L68" i="19"/>
  <c r="K47" i="19"/>
  <c r="K80" i="19" s="1"/>
  <c r="L35" i="19"/>
  <c r="H89" i="19"/>
  <c r="H91" i="19" s="1"/>
  <c r="K70" i="18"/>
  <c r="H91" i="18"/>
  <c r="H92" i="18" s="1"/>
  <c r="H94" i="18" s="1"/>
  <c r="I69" i="19"/>
  <c r="K69" i="19"/>
  <c r="L69" i="19" s="1"/>
  <c r="M69" i="19" s="1"/>
  <c r="H77" i="19"/>
  <c r="H81" i="19" s="1"/>
  <c r="H82" i="19" s="1"/>
  <c r="L35" i="18"/>
  <c r="L49" i="18" s="1"/>
  <c r="K90" i="18"/>
  <c r="L54" i="18" l="1"/>
  <c r="K87" i="18"/>
  <c r="K91" i="18" s="1"/>
  <c r="K92" i="18" s="1"/>
  <c r="K94" i="18" s="1"/>
  <c r="M49" i="18"/>
  <c r="K82" i="19"/>
  <c r="K84" i="19" s="1"/>
  <c r="E62" i="20"/>
  <c r="E73" i="20"/>
  <c r="L70" i="18"/>
  <c r="M35" i="18"/>
  <c r="L90" i="18"/>
  <c r="M35" i="19"/>
  <c r="M47" i="19" s="1"/>
  <c r="M80" i="19" s="1"/>
  <c r="L47" i="19"/>
  <c r="L80" i="19" s="1"/>
  <c r="L77" i="19"/>
  <c r="L81" i="19" s="1"/>
  <c r="M68" i="19"/>
  <c r="M77" i="19" s="1"/>
  <c r="M81" i="19" s="1"/>
  <c r="M90" i="18" l="1"/>
  <c r="M54" i="18"/>
  <c r="L87" i="18"/>
  <c r="L91" i="18" s="1"/>
  <c r="L92" i="18" s="1"/>
  <c r="L94" i="18" s="1"/>
  <c r="L82" i="19"/>
  <c r="L84" i="19" s="1"/>
  <c r="M82" i="19"/>
  <c r="M84" i="19" s="1"/>
  <c r="M70" i="18"/>
  <c r="M87" i="18" l="1"/>
  <c r="M91" i="18" s="1"/>
  <c r="M92" i="18" s="1"/>
  <c r="M94" i="18" s="1"/>
</calcChain>
</file>

<file path=xl/sharedStrings.xml><?xml version="1.0" encoding="utf-8"?>
<sst xmlns="http://schemas.openxmlformats.org/spreadsheetml/2006/main" count="902" uniqueCount="284">
  <si>
    <t>TOTAL</t>
  </si>
  <si>
    <t>Total</t>
  </si>
  <si>
    <t>Type d'investissement</t>
  </si>
  <si>
    <t>Unité</t>
  </si>
  <si>
    <t>INVESTISSEMENT INITIAL AGR</t>
  </si>
  <si>
    <t>Coûts fixes</t>
  </si>
  <si>
    <t>Coûts variables</t>
  </si>
  <si>
    <t>B</t>
  </si>
  <si>
    <t>A-Nº</t>
  </si>
  <si>
    <t>A</t>
  </si>
  <si>
    <t>B-Nº</t>
  </si>
  <si>
    <t>C-Nº</t>
  </si>
  <si>
    <t>C</t>
  </si>
  <si>
    <t>A.1</t>
  </si>
  <si>
    <t>A.2</t>
  </si>
  <si>
    <t>A.3</t>
  </si>
  <si>
    <t>A.4</t>
  </si>
  <si>
    <t>A.5</t>
  </si>
  <si>
    <t>B.1</t>
  </si>
  <si>
    <t>B.2</t>
  </si>
  <si>
    <t>B.4</t>
  </si>
  <si>
    <t>B.5</t>
  </si>
  <si>
    <t>B.6</t>
  </si>
  <si>
    <t>B.7</t>
  </si>
  <si>
    <t>B.8</t>
  </si>
  <si>
    <t>C.1</t>
  </si>
  <si>
    <t>C.2</t>
  </si>
  <si>
    <t>C.3</t>
  </si>
  <si>
    <t>COÛTS DE L'ACTIVITÉ</t>
  </si>
  <si>
    <t>B.9</t>
  </si>
  <si>
    <t>B.10</t>
  </si>
  <si>
    <t>B.11</t>
  </si>
  <si>
    <t>A.6</t>
  </si>
  <si>
    <t>Amortissement</t>
  </si>
  <si>
    <t>Type de dépenses</t>
  </si>
  <si>
    <t>Localité :</t>
  </si>
  <si>
    <t>PLAN D'AFFAIRES SIMPLIFIE</t>
  </si>
  <si>
    <t xml:space="preserve">Contributions projet: </t>
  </si>
  <si>
    <r>
      <t xml:space="preserve">Cycle de l'AGR </t>
    </r>
    <r>
      <rPr>
        <i/>
        <sz val="12"/>
        <color theme="1"/>
        <rFont val="Calibri"/>
        <family val="2"/>
        <scheme val="minor"/>
      </rPr>
      <t>(hebdomadaire, mensuel, annuel, etc.):</t>
    </r>
  </si>
  <si>
    <t>Coût unitaire</t>
  </si>
  <si>
    <t>DEPENSES PAR CYCLE</t>
  </si>
  <si>
    <t>RECETTES PAR CYCLE</t>
  </si>
  <si>
    <t>Produit / service</t>
  </si>
  <si>
    <t>Prix unitaire</t>
  </si>
  <si>
    <t>Plan Economique</t>
  </si>
  <si>
    <t>Cycle vie (ans)</t>
  </si>
  <si>
    <r>
      <t xml:space="preserve">Nom, Prénom </t>
    </r>
    <r>
      <rPr>
        <sz val="12"/>
        <color theme="1"/>
        <rFont val="Calibri"/>
        <family val="2"/>
        <scheme val="minor"/>
      </rPr>
      <t>(bénéficiaire, personne de contact)</t>
    </r>
    <r>
      <rPr>
        <b/>
        <sz val="12"/>
        <color theme="1"/>
        <rFont val="Calibri"/>
        <family val="2"/>
        <scheme val="minor"/>
      </rPr>
      <t>:</t>
    </r>
  </si>
  <si>
    <t>Numéro téléphone :</t>
  </si>
  <si>
    <t xml:space="preserve">Contributions bénéficiaire: </t>
  </si>
  <si>
    <t>Quantité</t>
  </si>
  <si>
    <t>BÉNÉFICES PAR CYCLE</t>
  </si>
  <si>
    <t>RECETTES DE L'ACTIVITÉ</t>
  </si>
  <si>
    <t>amortis./an</t>
  </si>
  <si>
    <t>Information général et Investissement initial</t>
  </si>
  <si>
    <t>Plan Economique Simplifié</t>
  </si>
  <si>
    <t>Prévision de recettes et dépenses par 3 ans</t>
  </si>
  <si>
    <t>Année 2</t>
  </si>
  <si>
    <t>Année 1</t>
  </si>
  <si>
    <t>Année 3</t>
  </si>
  <si>
    <t>Conversion (cycle--&gt; an)</t>
  </si>
  <si>
    <t>hebdomadaire</t>
  </si>
  <si>
    <t>annuel</t>
  </si>
  <si>
    <t>semestre (6mois)</t>
  </si>
  <si>
    <t>trimestrielle (3mois)</t>
  </si>
  <si>
    <t>Type de Cycle</t>
  </si>
  <si>
    <t>mensuel</t>
  </si>
  <si>
    <t>quincénaire</t>
  </si>
  <si>
    <t>(C-B) BÉNÉFICE</t>
  </si>
  <si>
    <t>(C-B-A) BÉNÉFICE</t>
  </si>
  <si>
    <t>bimensuel (2mois)</t>
  </si>
  <si>
    <t>MRU</t>
  </si>
  <si>
    <t>RÉSUMÉ SUPPORT AGR</t>
  </si>
  <si>
    <t>Investissement initial</t>
  </si>
  <si>
    <t>Depenses par cycle</t>
  </si>
  <si>
    <t>Nombre de cycles supportés</t>
  </si>
  <si>
    <t>TOTAL SUPPORT (MRU)</t>
  </si>
  <si>
    <t>Poisson</t>
  </si>
  <si>
    <t>Légumes</t>
  </si>
  <si>
    <t>C.4</t>
  </si>
  <si>
    <t>C.5</t>
  </si>
  <si>
    <t>Transport poisson</t>
  </si>
  <si>
    <t>Location boutique</t>
  </si>
  <si>
    <t>Denrées alimentaires - sucre</t>
  </si>
  <si>
    <t>Transporteur denrées alimentaires</t>
  </si>
  <si>
    <t>Denrées alimentaires - huile</t>
  </si>
  <si>
    <t>20 litres</t>
  </si>
  <si>
    <t>litres</t>
  </si>
  <si>
    <t>Denrées alimentaires - pate</t>
  </si>
  <si>
    <t>B.12</t>
  </si>
  <si>
    <t>C.7</t>
  </si>
  <si>
    <t>B.13</t>
  </si>
  <si>
    <t>C.8</t>
  </si>
  <si>
    <t>C.9</t>
  </si>
  <si>
    <t>Bouteille gaz 12 l.</t>
  </si>
  <si>
    <t>Bouteille gaz 3 l.</t>
  </si>
  <si>
    <t>Bouteille gaz 12 l. - remplissage</t>
  </si>
  <si>
    <t>Bouteille gaz 3 l. - remplissage</t>
  </si>
  <si>
    <t>Transport habilles</t>
  </si>
  <si>
    <t>Habilles - Robes</t>
  </si>
  <si>
    <t>Habilles - Chaussures</t>
  </si>
  <si>
    <t>B.14</t>
  </si>
  <si>
    <t>B.15</t>
  </si>
  <si>
    <t>B.16</t>
  </si>
  <si>
    <t>B.17</t>
  </si>
  <si>
    <t>B.18</t>
  </si>
  <si>
    <t>B.19</t>
  </si>
  <si>
    <t>B.20</t>
  </si>
  <si>
    <t>B.21</t>
  </si>
  <si>
    <t>B.22</t>
  </si>
  <si>
    <t>C.10</t>
  </si>
  <si>
    <t>C.11</t>
  </si>
  <si>
    <t>C.12</t>
  </si>
  <si>
    <t>Denrées alimentaires - riz</t>
  </si>
  <si>
    <t>Denrées alimentaires - blé</t>
  </si>
  <si>
    <t>Remarques</t>
  </si>
  <si>
    <t>Achats hebdomadaires</t>
  </si>
  <si>
    <t>Achats mensuels</t>
  </si>
  <si>
    <t>Mois</t>
  </si>
  <si>
    <t>Semaine</t>
  </si>
  <si>
    <t>Ventes hebdomadaires</t>
  </si>
  <si>
    <t>Ventes mensuels</t>
  </si>
  <si>
    <t>Total (Mois)</t>
  </si>
  <si>
    <t>C.13</t>
  </si>
  <si>
    <t>C.14</t>
  </si>
  <si>
    <t>C.15</t>
  </si>
  <si>
    <t>B.23</t>
  </si>
  <si>
    <t>Stock denrés alimentaires</t>
  </si>
  <si>
    <t>Emballages</t>
  </si>
  <si>
    <t>Entretien</t>
  </si>
  <si>
    <t>1 fois par an</t>
  </si>
  <si>
    <t>citerne???</t>
  </si>
  <si>
    <t>semaine</t>
  </si>
  <si>
    <t>mois</t>
  </si>
  <si>
    <t>+50 sur le prix d'achat</t>
  </si>
  <si>
    <t>+20 sur le prix d'achat</t>
  </si>
  <si>
    <t>Charbon</t>
  </si>
  <si>
    <t>Transport charbon</t>
  </si>
  <si>
    <t>C.6</t>
  </si>
  <si>
    <t>C.16</t>
  </si>
  <si>
    <t>Rdeidiaa</t>
  </si>
  <si>
    <t>Club de mères - Rdeidiaa</t>
  </si>
  <si>
    <t>1 fois par semaine</t>
  </si>
  <si>
    <t>Estimation de 80 kg /1 fois par semaine</t>
  </si>
  <si>
    <t>Estimation de 40 kg /1 fois par semaine</t>
  </si>
  <si>
    <t>Nouakchott</t>
  </si>
  <si>
    <t>kg</t>
  </si>
  <si>
    <t>10 kg</t>
  </si>
  <si>
    <t>sac 50 kg</t>
  </si>
  <si>
    <t>loyer</t>
  </si>
  <si>
    <t>forfait</t>
  </si>
  <si>
    <t>Denrées alimentaires - bidon</t>
  </si>
  <si>
    <t>bidon</t>
  </si>
  <si>
    <t>vente des bidons vides</t>
  </si>
  <si>
    <t>unités</t>
  </si>
  <si>
    <t>transport</t>
  </si>
  <si>
    <t>bouteille</t>
  </si>
  <si>
    <t>étagères et tables y compris dans le loyer</t>
  </si>
  <si>
    <t>balance 1200, nattes (600x2), chaises (250x2)</t>
  </si>
  <si>
    <t>Denrées alimentaires - biscuit</t>
  </si>
  <si>
    <t>Denrées alimentaires - the</t>
  </si>
  <si>
    <t>inclut des étagères</t>
  </si>
  <si>
    <t>Produits hygiène - omo</t>
  </si>
  <si>
    <t>Barkeol</t>
  </si>
  <si>
    <t>Denrées alimentaires - gloria</t>
  </si>
  <si>
    <t>caisse 96 ud</t>
  </si>
  <si>
    <t>Barkeol, si elles achetent en quantité</t>
  </si>
  <si>
    <t>50 MRU/sac (se reduis si augmante le nombre de sacs)</t>
  </si>
  <si>
    <t>1250 MRU/sac; 30 MRU/kg</t>
  </si>
  <si>
    <t>grossiste de Barkeol</t>
  </si>
  <si>
    <t>sac 50 ud</t>
  </si>
  <si>
    <t>carton 18 ud</t>
  </si>
  <si>
    <t>Produits hygiène - savon</t>
  </si>
  <si>
    <t>carton 150 ud</t>
  </si>
  <si>
    <t>Denrées alimentaires - lait poudre</t>
  </si>
  <si>
    <t>sac 25 kg</t>
  </si>
  <si>
    <t>voiture</t>
  </si>
  <si>
    <t>voiture qui passe par le village</t>
  </si>
  <si>
    <t>sac 20 kg</t>
  </si>
  <si>
    <t>en gros a 250 / sac, en detail à 25 MRU/kg</t>
  </si>
  <si>
    <t>Habilles - Habilles enfant</t>
  </si>
  <si>
    <t>Habilles - Voiles (cat. 2)</t>
  </si>
  <si>
    <t>Habilles - Voiles (cat. 1)</t>
  </si>
  <si>
    <t>Nouakchott, grand coli</t>
  </si>
  <si>
    <t>Glace</t>
  </si>
  <si>
    <t>sac</t>
  </si>
  <si>
    <t>1 sac par transport</t>
  </si>
  <si>
    <t>2 kg qui se rattent</t>
  </si>
  <si>
    <t xml:space="preserve">le cambion vient </t>
  </si>
  <si>
    <t>prix de Barkeol</t>
  </si>
  <si>
    <t>Loyer charette</t>
  </si>
  <si>
    <t>trajet</t>
  </si>
  <si>
    <t>B.24</t>
  </si>
  <si>
    <t>B.25</t>
  </si>
  <si>
    <t>B.26</t>
  </si>
  <si>
    <t>B.27</t>
  </si>
  <si>
    <t>B.28</t>
  </si>
  <si>
    <t>B.29</t>
  </si>
  <si>
    <t>B.30</t>
  </si>
  <si>
    <t>B.31</t>
  </si>
  <si>
    <t>C.17</t>
  </si>
  <si>
    <t>C.18</t>
  </si>
  <si>
    <t>C.19</t>
  </si>
  <si>
    <t>C.20</t>
  </si>
  <si>
    <t>C.21</t>
  </si>
  <si>
    <t>C.22</t>
  </si>
  <si>
    <t>B.3</t>
  </si>
  <si>
    <t>Boutique / magasin de produits diverses, notamment produits alimentaires (denrées alimentaires de base, poisson et légumes), produits d’hygiène, habilles et vente de gaz et charbon.</t>
  </si>
  <si>
    <t>2 kg qui se ratent</t>
  </si>
  <si>
    <t>en gros a 250 / sac, en détail à 25 MRU/kg</t>
  </si>
  <si>
    <t xml:space="preserve">Apport CRM </t>
  </si>
  <si>
    <r>
      <t>Type/nom de l'activité génératrice de revenus:</t>
    </r>
    <r>
      <rPr>
        <sz val="11"/>
        <color theme="1"/>
        <rFont val="Calibri"/>
        <family val="2"/>
        <scheme val="minor"/>
      </rPr>
      <t xml:space="preserve"> </t>
    </r>
  </si>
  <si>
    <t>1 mois</t>
  </si>
  <si>
    <t>1 cycle</t>
  </si>
  <si>
    <t>1/2 cycle</t>
  </si>
  <si>
    <t>Equipment (balance, nattes, chaises)</t>
  </si>
  <si>
    <t>50 MRU/sac (le prix se réduis si augmente le nombre de sacs)</t>
  </si>
  <si>
    <t>le camion citerne vient une fois par mois, sauf pendant l'hivernage</t>
  </si>
  <si>
    <t>Achat à Nouakchott</t>
  </si>
  <si>
    <t>Achat à Barkeol</t>
  </si>
  <si>
    <t>Aménagement boutique</t>
  </si>
  <si>
    <t>Thermo 24 litres</t>
  </si>
  <si>
    <t>Forfait démarrage (transport matériels, visites fournisseurs, etc.)</t>
  </si>
  <si>
    <t>distribution dans le village (voiture / charrette)</t>
  </si>
  <si>
    <t>Investissement AGR</t>
  </si>
  <si>
    <t>Total (MRU)</t>
  </si>
  <si>
    <t>Coût ud (MRU)</t>
  </si>
  <si>
    <t>Couverture CRM</t>
  </si>
  <si>
    <t>totale</t>
  </si>
  <si>
    <t>Dépenses par cycle (Fonds de roulement)</t>
  </si>
  <si>
    <t>PLAN ECONOMIQUE du PLAN d'AFFAIRES SIMPLIFIE</t>
  </si>
  <si>
    <t>Coûts variables. Vente de poisson et légumes, cycle hebdomadaire</t>
  </si>
  <si>
    <t>Coûts variables. Vente de denrées alimenatires et produits d'hygiene, cycle mensuel</t>
  </si>
  <si>
    <t>Coûts variables. Vente de charbon et gaz, cycle mensuel</t>
  </si>
  <si>
    <t>couvert dans l'investissement</t>
  </si>
  <si>
    <t>Coûts variables. Vente d'habilles, cycle mensuel</t>
  </si>
  <si>
    <t>1 mois (1 cycle)</t>
  </si>
  <si>
    <t>Autres</t>
  </si>
  <si>
    <t>Emballages et autres dépenses mineures</t>
  </si>
  <si>
    <t>Total dépenses (fond roulement) couvertes</t>
  </si>
  <si>
    <t>Total Investissement AGR couvert</t>
  </si>
  <si>
    <t>1/2 cycle, plus 6 sacs</t>
  </si>
  <si>
    <t>Total Contribution CRM (MRU)</t>
  </si>
  <si>
    <r>
      <t xml:space="preserve">Nom, Prénom </t>
    </r>
    <r>
      <rPr>
        <sz val="11"/>
        <color theme="1"/>
        <rFont val="Calibri"/>
        <family val="2"/>
        <scheme val="minor"/>
      </rPr>
      <t>(bénéficiaire)</t>
    </r>
    <r>
      <rPr>
        <b/>
        <sz val="11"/>
        <color theme="1"/>
        <rFont val="Calibri"/>
        <family val="2"/>
        <scheme val="minor"/>
      </rPr>
      <t>:</t>
    </r>
  </si>
  <si>
    <t>Apport du CRM (AGR Clubs des Mères)</t>
  </si>
  <si>
    <t>Année 2 et 3</t>
  </si>
  <si>
    <t>Thermo pour le transport 40 Kg.</t>
  </si>
  <si>
    <t>unité</t>
  </si>
  <si>
    <t>Amenagement boutique (estimation)</t>
  </si>
  <si>
    <t>ameliorations pour l'augmantation de produits</t>
  </si>
  <si>
    <t>Congelateur solaire 208 litres, avec panneaux, installation et transport</t>
  </si>
  <si>
    <t>Achat à Kiffa</t>
  </si>
  <si>
    <t>Equipment (estimation)</t>
  </si>
  <si>
    <t>multiprises, pots, etc</t>
  </si>
  <si>
    <t>TOTAL ANNÉES 2 ET 3</t>
  </si>
  <si>
    <t>Scenario évolution AGR (années 2 et 3)</t>
  </si>
  <si>
    <t>Ajout de l'entretien du congélateur</t>
  </si>
  <si>
    <t>Vêtements - Voiles (cat. 1)</t>
  </si>
  <si>
    <t>Vêtements - Voiles (cat. 2)</t>
  </si>
  <si>
    <t>Vêtements - Robes</t>
  </si>
  <si>
    <t>Vêtements - Chaussures</t>
  </si>
  <si>
    <t>Vêtements - Vêtements enfant</t>
  </si>
  <si>
    <t>Transport Vêtements</t>
  </si>
  <si>
    <t>Charrette</t>
  </si>
  <si>
    <t>Ane (pour la charette)</t>
  </si>
  <si>
    <t>Scenario évolution AGR (années 2 et 3), estimation mensuelle</t>
  </si>
  <si>
    <t>C1</t>
  </si>
  <si>
    <t>Bénéfice. Augmentation poisson et légumes</t>
  </si>
  <si>
    <t>Doubler les ventes</t>
  </si>
  <si>
    <t>C2</t>
  </si>
  <si>
    <t>Bénéfice. Augmentation d. alimentaires</t>
  </si>
  <si>
    <t>25%</t>
  </si>
  <si>
    <t>C3</t>
  </si>
  <si>
    <t>Bénéfice. Diversification, vente de boissons</t>
  </si>
  <si>
    <t>C4</t>
  </si>
  <si>
    <t>Service transport</t>
  </si>
  <si>
    <t>Recharge telephone</t>
  </si>
  <si>
    <r>
      <rPr>
        <b/>
        <sz val="11"/>
        <color theme="1"/>
        <rFont val="Calibri"/>
        <family val="2"/>
        <scheme val="minor"/>
      </rPr>
      <t xml:space="preserve">Plan économique pour le premier année </t>
    </r>
    <r>
      <rPr>
        <sz val="11"/>
        <color theme="1"/>
        <rFont val="Calibri"/>
        <family val="2"/>
        <scheme val="minor"/>
      </rPr>
      <t xml:space="preserve">selon la définition élaborée avec le groupement.
</t>
    </r>
    <r>
      <rPr>
        <b/>
        <sz val="11"/>
        <color theme="1"/>
        <rFont val="Calibri"/>
        <family val="2"/>
        <scheme val="minor"/>
      </rPr>
      <t>Scenario d'évolution du PAS: A</t>
    </r>
    <r>
      <rPr>
        <sz val="11"/>
        <color theme="1"/>
        <rFont val="Calibri"/>
        <family val="2"/>
        <scheme val="minor"/>
      </rPr>
      <t>chat d'un congélateur et de charrette. Augmantation des ventes et la distribution à d'autres villeges /quartiers. Augmanter la vente de poison (fois 4), de denrées alimentaires (25%) et autres produits exitants. Inclure des boissons et/ou poulets. Inclure le service de transport et de recharge de telephones. L'évolution est calculé sur la base de bénéfices mensuels et en utilisant les résultats des AGRs d'autres groupements.</t>
    </r>
  </si>
  <si>
    <t>Bénéfice. Augmentation vêtements</t>
  </si>
  <si>
    <t>RESUME</t>
  </si>
  <si>
    <t xml:space="preserve">Investissement </t>
  </si>
  <si>
    <t>Dépenses fixes</t>
  </si>
  <si>
    <t>Dépenses variables</t>
  </si>
  <si>
    <t>Recettes</t>
  </si>
  <si>
    <t xml:space="preserve">Type/nom de l'activité génératrice de revenus: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</si>
</sst>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0.0"/>
    <numFmt numFmtId="166" formatCode="_-* #,##0.0\ _€_-;\-* #,##0.0\ _€_-;_-* &quot;-&quot;??\ _€_-;_-@_-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2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ECEADC"/>
        <bgColor indexed="64"/>
      </patternFill>
    </fill>
    <fill>
      <patternFill patternType="solid">
        <fgColor rgb="FFC7C09D"/>
        <bgColor indexed="64"/>
      </patternFill>
    </fill>
    <fill>
      <patternFill patternType="solid">
        <fgColor rgb="FFFFF13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6F5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6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0" fillId="3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4" fillId="3" borderId="0" xfId="1" applyNumberFormat="1" applyFont="1" applyFill="1" applyBorder="1" applyAlignment="1">
      <alignment vertical="center"/>
    </xf>
    <xf numFmtId="164" fontId="9" fillId="2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0" fillId="0" borderId="0" xfId="1" applyNumberFormat="1" applyFont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164" fontId="0" fillId="5" borderId="0" xfId="1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0" fontId="18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ont="1" applyBorder="1" applyAlignment="1">
      <alignment horizontal="center" vertical="center"/>
    </xf>
    <xf numFmtId="164" fontId="0" fillId="6" borderId="0" xfId="1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left" vertical="center"/>
    </xf>
    <xf numFmtId="164" fontId="9" fillId="2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Border="1" applyAlignment="1">
      <alignment horizontal="left" vertical="center"/>
    </xf>
    <xf numFmtId="164" fontId="0" fillId="3" borderId="0" xfId="1" applyNumberFormat="1" applyFont="1" applyFill="1" applyBorder="1" applyAlignment="1">
      <alignment horizontal="left" vertical="center"/>
    </xf>
    <xf numFmtId="164" fontId="4" fillId="4" borderId="0" xfId="1" applyNumberFormat="1" applyFont="1" applyFill="1" applyBorder="1" applyAlignment="1">
      <alignment horizontal="left" vertical="center"/>
    </xf>
    <xf numFmtId="164" fontId="0" fillId="5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4" fontId="6" fillId="3" borderId="0" xfId="1" applyNumberFormat="1" applyFont="1" applyFill="1" applyBorder="1" applyAlignment="1">
      <alignment horizontal="center" vertical="center"/>
    </xf>
    <xf numFmtId="164" fontId="6" fillId="3" borderId="0" xfId="1" applyNumberFormat="1" applyFont="1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1" applyNumberFormat="1" applyFont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164" fontId="19" fillId="0" borderId="0" xfId="1" applyNumberFormat="1" applyFont="1" applyFill="1" applyBorder="1" applyAlignment="1">
      <alignment horizontal="center" vertical="center"/>
    </xf>
    <xf numFmtId="164" fontId="19" fillId="0" borderId="0" xfId="1" applyNumberFormat="1" applyFont="1" applyBorder="1" applyAlignment="1">
      <alignment horizontal="center" vertical="center"/>
    </xf>
    <xf numFmtId="164" fontId="19" fillId="0" borderId="0" xfId="1" applyNumberFormat="1" applyFont="1" applyBorder="1" applyAlignment="1">
      <alignment horizontal="left" vertical="center"/>
    </xf>
    <xf numFmtId="1" fontId="19" fillId="0" borderId="0" xfId="0" applyNumberFormat="1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17" fillId="3" borderId="7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164" fontId="18" fillId="0" borderId="0" xfId="1" applyNumberFormat="1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164" fontId="18" fillId="0" borderId="0" xfId="1" applyNumberFormat="1" applyFont="1" applyBorder="1" applyAlignment="1">
      <alignment horizontal="center" vertical="center"/>
    </xf>
    <xf numFmtId="164" fontId="18" fillId="0" borderId="0" xfId="1" applyNumberFormat="1" applyFont="1" applyBorder="1" applyAlignment="1">
      <alignment horizontal="left" vertical="center"/>
    </xf>
    <xf numFmtId="164" fontId="18" fillId="0" borderId="0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164" fontId="18" fillId="0" borderId="0" xfId="1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16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64" fontId="18" fillId="0" borderId="0" xfId="1" applyNumberFormat="1" applyFont="1" applyFill="1" applyBorder="1" applyAlignment="1">
      <alignment horizontal="left" vertical="top" wrapText="1"/>
    </xf>
    <xf numFmtId="164" fontId="0" fillId="0" borderId="0" xfId="0" applyNumberFormat="1" applyFont="1" applyBorder="1" applyAlignment="1">
      <alignment horizontal="left" vertical="center"/>
    </xf>
    <xf numFmtId="164" fontId="11" fillId="3" borderId="0" xfId="1" applyNumberFormat="1" applyFont="1" applyFill="1" applyBorder="1" applyAlignment="1">
      <alignment horizontal="left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vertical="center"/>
    </xf>
    <xf numFmtId="164" fontId="0" fillId="7" borderId="0" xfId="0" applyNumberFormat="1" applyFont="1" applyFill="1" applyBorder="1" applyAlignment="1">
      <alignment vertical="center" wrapText="1"/>
    </xf>
    <xf numFmtId="164" fontId="0" fillId="7" borderId="0" xfId="1" applyNumberFormat="1" applyFont="1" applyFill="1" applyBorder="1" applyAlignment="1">
      <alignment horizontal="center" vertical="center"/>
    </xf>
    <xf numFmtId="164" fontId="0" fillId="7" borderId="0" xfId="1" applyNumberFormat="1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164" fontId="17" fillId="3" borderId="1" xfId="1" applyNumberFormat="1" applyFont="1" applyFill="1" applyBorder="1" applyAlignment="1">
      <alignment horizontal="center" vertical="center"/>
    </xf>
    <xf numFmtId="164" fontId="17" fillId="3" borderId="3" xfId="1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vertical="center"/>
    </xf>
    <xf numFmtId="0" fontId="23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164" fontId="0" fillId="0" borderId="0" xfId="1" applyNumberFormat="1" applyFont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164" fontId="0" fillId="3" borderId="0" xfId="1" applyNumberFormat="1" applyFont="1" applyFill="1" applyBorder="1" applyAlignment="1">
      <alignment horizontal="center" vertical="center" wrapText="1"/>
    </xf>
    <xf numFmtId="164" fontId="0" fillId="3" borderId="0" xfId="1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8" borderId="0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164" fontId="0" fillId="0" borderId="10" xfId="1" applyNumberFormat="1" applyFont="1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4" fontId="0" fillId="3" borderId="10" xfId="0" applyNumberFormat="1" applyFont="1" applyFill="1" applyBorder="1" applyAlignment="1">
      <alignment horizontal="center" vertical="center"/>
    </xf>
    <xf numFmtId="164" fontId="0" fillId="3" borderId="11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164" fontId="18" fillId="0" borderId="10" xfId="1" applyNumberFormat="1" applyFont="1" applyBorder="1" applyAlignment="1">
      <alignment horizontal="center" vertical="center"/>
    </xf>
    <xf numFmtId="164" fontId="18" fillId="0" borderId="10" xfId="1" applyNumberFormat="1" applyFont="1" applyFill="1" applyBorder="1" applyAlignment="1">
      <alignment horizontal="center" vertical="center"/>
    </xf>
    <xf numFmtId="164" fontId="4" fillId="4" borderId="10" xfId="1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164" fontId="0" fillId="0" borderId="10" xfId="0" applyNumberFormat="1" applyFont="1" applyBorder="1" applyAlignment="1">
      <alignment vertical="center"/>
    </xf>
    <xf numFmtId="164" fontId="0" fillId="0" borderId="11" xfId="0" applyNumberFormat="1" applyFont="1" applyBorder="1" applyAlignment="1">
      <alignment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164" fontId="0" fillId="5" borderId="10" xfId="1" applyNumberFormat="1" applyFont="1" applyFill="1" applyBorder="1" applyAlignment="1">
      <alignment horizontal="center" vertical="center"/>
    </xf>
    <xf numFmtId="164" fontId="0" fillId="5" borderId="11" xfId="1" applyNumberFormat="1" applyFont="1" applyFill="1" applyBorder="1" applyAlignment="1">
      <alignment horizontal="center" vertical="center"/>
    </xf>
    <xf numFmtId="164" fontId="4" fillId="4" borderId="12" xfId="1" applyNumberFormat="1" applyFont="1" applyFill="1" applyBorder="1" applyAlignment="1">
      <alignment horizontal="center" vertical="center"/>
    </xf>
    <xf numFmtId="164" fontId="4" fillId="4" borderId="13" xfId="1" applyNumberFormat="1" applyFont="1" applyFill="1" applyBorder="1" applyAlignment="1">
      <alignment horizontal="center" vertical="center"/>
    </xf>
    <xf numFmtId="0" fontId="22" fillId="9" borderId="0" xfId="0" applyFont="1" applyFill="1" applyBorder="1" applyAlignment="1">
      <alignment horizontal="center" vertical="center"/>
    </xf>
    <xf numFmtId="0" fontId="22" fillId="9" borderId="0" xfId="0" applyFont="1" applyFill="1" applyBorder="1" applyAlignment="1">
      <alignment vertical="center"/>
    </xf>
    <xf numFmtId="165" fontId="22" fillId="9" borderId="0" xfId="0" applyNumberFormat="1" applyFont="1" applyFill="1" applyBorder="1" applyAlignment="1">
      <alignment horizontal="center" vertical="center"/>
    </xf>
    <xf numFmtId="164" fontId="22" fillId="9" borderId="0" xfId="1" applyNumberFormat="1" applyFont="1" applyFill="1" applyBorder="1" applyAlignment="1">
      <alignment horizontal="center" vertical="center"/>
    </xf>
    <xf numFmtId="164" fontId="22" fillId="9" borderId="10" xfId="1" applyNumberFormat="1" applyFont="1" applyFill="1" applyBorder="1" applyAlignment="1">
      <alignment horizontal="center" vertical="center"/>
    </xf>
    <xf numFmtId="164" fontId="22" fillId="9" borderId="11" xfId="1" applyNumberFormat="1" applyFont="1" applyFill="1" applyBorder="1" applyAlignment="1">
      <alignment horizontal="center" vertical="center"/>
    </xf>
    <xf numFmtId="164" fontId="22" fillId="9" borderId="0" xfId="1" applyNumberFormat="1" applyFont="1" applyFill="1" applyBorder="1" applyAlignment="1">
      <alignment horizontal="left" vertical="center"/>
    </xf>
    <xf numFmtId="164" fontId="22" fillId="0" borderId="0" xfId="0" applyNumberFormat="1" applyFont="1" applyBorder="1" applyAlignment="1">
      <alignment vertical="center"/>
    </xf>
    <xf numFmtId="164" fontId="0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22" fillId="9" borderId="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164" fontId="22" fillId="9" borderId="0" xfId="1" quotePrefix="1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164" fontId="22" fillId="0" borderId="0" xfId="0" applyNumberFormat="1" applyFont="1" applyFill="1" applyBorder="1" applyAlignment="1">
      <alignment vertical="center"/>
    </xf>
    <xf numFmtId="0" fontId="21" fillId="10" borderId="8" xfId="0" applyFont="1" applyFill="1" applyBorder="1" applyAlignment="1">
      <alignment horizontal="center" vertical="center"/>
    </xf>
    <xf numFmtId="0" fontId="21" fillId="10" borderId="14" xfId="0" applyFont="1" applyFill="1" applyBorder="1" applyAlignment="1">
      <alignment horizontal="center" vertical="center"/>
    </xf>
    <xf numFmtId="0" fontId="21" fillId="10" borderId="9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164" fontId="21" fillId="10" borderId="8" xfId="1" applyNumberFormat="1" applyFont="1" applyFill="1" applyBorder="1" applyAlignment="1">
      <alignment horizontal="center" vertical="center"/>
    </xf>
    <xf numFmtId="164" fontId="21" fillId="10" borderId="14" xfId="1" applyNumberFormat="1" applyFont="1" applyFill="1" applyBorder="1" applyAlignment="1">
      <alignment horizontal="center" vertical="center"/>
    </xf>
    <xf numFmtId="164" fontId="21" fillId="10" borderId="9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11" borderId="10" xfId="0" applyFont="1" applyFill="1" applyBorder="1" applyAlignment="1">
      <alignment horizontal="center" vertical="center"/>
    </xf>
    <xf numFmtId="0" fontId="0" fillId="11" borderId="0" xfId="0" applyFont="1" applyFill="1" applyBorder="1" applyAlignment="1">
      <alignment horizontal="left" vertical="center"/>
    </xf>
    <xf numFmtId="164" fontId="0" fillId="11" borderId="0" xfId="1" applyNumberFormat="1" applyFont="1" applyFill="1" applyBorder="1" applyAlignment="1">
      <alignment horizontal="center" vertical="center"/>
    </xf>
    <xf numFmtId="164" fontId="0" fillId="11" borderId="10" xfId="1" applyNumberFormat="1" applyFont="1" applyFill="1" applyBorder="1" applyAlignment="1">
      <alignment horizontal="center" vertical="center"/>
    </xf>
    <xf numFmtId="164" fontId="0" fillId="11" borderId="11" xfId="1" applyNumberFormat="1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21" fillId="10" borderId="12" xfId="0" applyFont="1" applyFill="1" applyBorder="1" applyAlignment="1">
      <alignment horizontal="center" vertical="center"/>
    </xf>
    <xf numFmtId="0" fontId="21" fillId="10" borderId="15" xfId="0" applyFont="1" applyFill="1" applyBorder="1" applyAlignment="1">
      <alignment horizontal="left" vertical="center"/>
    </xf>
    <xf numFmtId="164" fontId="21" fillId="10" borderId="15" xfId="1" applyNumberFormat="1" applyFont="1" applyFill="1" applyBorder="1" applyAlignment="1">
      <alignment horizontal="center" vertical="center"/>
    </xf>
    <xf numFmtId="164" fontId="21" fillId="10" borderId="12" xfId="1" applyNumberFormat="1" applyFont="1" applyFill="1" applyBorder="1" applyAlignment="1">
      <alignment horizontal="center" vertical="center"/>
    </xf>
    <xf numFmtId="164" fontId="21" fillId="10" borderId="13" xfId="1" applyNumberFormat="1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4" fontId="10" fillId="0" borderId="0" xfId="0" applyNumberFormat="1" applyFont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ECEADC"/>
      <color rgb="FFFFF13B"/>
      <color rgb="FFC7C0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694765</xdr:colOff>
      <xdr:row>0</xdr:row>
      <xdr:rowOff>51867</xdr:rowOff>
    </xdr:from>
    <xdr:to>
      <xdr:col>7</xdr:col>
      <xdr:colOff>974751</xdr:colOff>
      <xdr:row>2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6C12B-7AD7-4D52-A83F-B7A9FD4136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1490" y="51867"/>
          <a:ext cx="3223211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</xdr:colOff>
      <xdr:row>0</xdr:row>
      <xdr:rowOff>78441</xdr:rowOff>
    </xdr:from>
    <xdr:to>
      <xdr:col>13</xdr:col>
      <xdr:colOff>515470</xdr:colOff>
      <xdr:row>2</xdr:row>
      <xdr:rowOff>217074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827791-CC04-4CD9-8BD9-027B32ECC3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1647" y="78441"/>
          <a:ext cx="3451411" cy="68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</xdr:colOff>
      <xdr:row>0</xdr:row>
      <xdr:rowOff>78441</xdr:rowOff>
    </xdr:from>
    <xdr:to>
      <xdr:col>13</xdr:col>
      <xdr:colOff>515470</xdr:colOff>
      <xdr:row>2</xdr:row>
      <xdr:rowOff>217074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DBC02F-3955-4158-889A-473BBF3175C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4187" y="78441"/>
          <a:ext cx="3436283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56030</xdr:colOff>
      <xdr:row>0</xdr:row>
      <xdr:rowOff>104213</xdr:rowOff>
    </xdr:from>
    <xdr:to>
      <xdr:col>6</xdr:col>
      <xdr:colOff>7845</xdr:colOff>
      <xdr:row>2</xdr:row>
      <xdr:rowOff>212913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2C784E-5421-457E-8028-3C6962699A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9765" y="104213"/>
          <a:ext cx="3100668" cy="6577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2"/>
  <sheetViews>
    <sheetView tabSelected="1" zoomScale="85" zoomScaleNormal="85" zoomScalePageLayoutView="85" workbookViewId="0">
      <pane ySplit="3" topLeftCell="A4" activePane="bottomLeft" state="frozen"/>
      <selection pane="bottomLeft" activeCell="A7" sqref="A7:B7"/>
    </sheetView>
  </sheetViews>
  <sheetFormatPr baseColWidth="10" defaultColWidth="10.85546875" defaultRowHeight="15" x14ac:dyDescent="0.25"/>
  <cols>
    <col min="1" max="1" width="10.140625" style="9" customWidth="1"/>
    <col min="2" max="2" width="39.28515625" style="9" customWidth="1"/>
    <col min="3" max="8" width="14.7109375" style="9" customWidth="1"/>
    <col min="9" max="9" width="47.28515625" style="71" customWidth="1"/>
    <col min="10" max="10" width="19.42578125" style="38" hidden="1" customWidth="1"/>
    <col min="11" max="16384" width="10.85546875" style="9"/>
  </cols>
  <sheetData>
    <row r="1" spans="1:11" ht="28.5" x14ac:dyDescent="0.25">
      <c r="A1" s="26" t="s">
        <v>54</v>
      </c>
      <c r="B1" s="4"/>
      <c r="C1" s="5"/>
      <c r="D1" s="5"/>
      <c r="E1" s="5"/>
      <c r="G1" s="10"/>
      <c r="H1" s="10"/>
    </row>
    <row r="2" spans="1:11" x14ac:dyDescent="0.25">
      <c r="A2" s="1"/>
      <c r="B2" s="7"/>
      <c r="C2" s="5"/>
      <c r="D2" s="5"/>
      <c r="E2" s="5"/>
      <c r="G2" s="10"/>
      <c r="H2" s="10"/>
    </row>
    <row r="3" spans="1:11" ht="18.75" x14ac:dyDescent="0.25">
      <c r="A3" s="27" t="s">
        <v>53</v>
      </c>
      <c r="B3" s="4"/>
      <c r="G3" s="10"/>
      <c r="H3" s="10"/>
    </row>
    <row r="4" spans="1:11" x14ac:dyDescent="0.25">
      <c r="A4" s="1"/>
      <c r="B4" s="4"/>
      <c r="G4" s="10"/>
      <c r="H4" s="10"/>
    </row>
    <row r="5" spans="1:11" ht="18.75" customHeight="1" x14ac:dyDescent="0.25">
      <c r="A5" s="137" t="s">
        <v>36</v>
      </c>
      <c r="B5" s="137"/>
      <c r="C5" s="137"/>
      <c r="D5" s="137"/>
      <c r="E5" s="137"/>
      <c r="F5" s="137"/>
      <c r="G5" s="137"/>
      <c r="H5" s="137"/>
      <c r="J5" s="39"/>
      <c r="K5" s="2"/>
    </row>
    <row r="6" spans="1:11" ht="18.75" customHeight="1" thickBot="1" x14ac:dyDescent="0.3">
      <c r="A6" s="14"/>
      <c r="B6" s="14"/>
      <c r="C6" s="14"/>
      <c r="D6" s="14"/>
      <c r="E6" s="14"/>
      <c r="F6" s="14"/>
      <c r="G6" s="14"/>
      <c r="H6" s="14"/>
      <c r="I6" s="72"/>
      <c r="J6" s="39" t="s">
        <v>64</v>
      </c>
      <c r="K6" s="2"/>
    </row>
    <row r="7" spans="1:11" ht="53.25" customHeight="1" thickBot="1" x14ac:dyDescent="0.3">
      <c r="A7" s="138" t="s">
        <v>283</v>
      </c>
      <c r="B7" s="139"/>
      <c r="C7" s="140" t="s">
        <v>206</v>
      </c>
      <c r="D7" s="140"/>
      <c r="E7" s="141"/>
      <c r="F7" s="141"/>
      <c r="G7" s="141"/>
      <c r="H7" s="142"/>
      <c r="J7" s="39" t="s">
        <v>60</v>
      </c>
    </row>
    <row r="8" spans="1:11" ht="18" customHeight="1" thickBot="1" x14ac:dyDescent="0.3">
      <c r="A8" s="138" t="s">
        <v>46</v>
      </c>
      <c r="B8" s="139"/>
      <c r="C8" s="141" t="s">
        <v>140</v>
      </c>
      <c r="D8" s="141"/>
      <c r="E8" s="141"/>
      <c r="F8" s="141"/>
      <c r="G8" s="141"/>
      <c r="H8" s="142"/>
      <c r="J8" s="39" t="s">
        <v>66</v>
      </c>
    </row>
    <row r="9" spans="1:11" ht="18" customHeight="1" thickBot="1" x14ac:dyDescent="0.3">
      <c r="A9" s="50" t="s">
        <v>47</v>
      </c>
      <c r="B9" s="51"/>
      <c r="C9" s="16"/>
      <c r="D9" s="16"/>
      <c r="E9" s="50" t="s">
        <v>35</v>
      </c>
      <c r="F9" s="17" t="s">
        <v>139</v>
      </c>
      <c r="G9" s="17"/>
      <c r="H9" s="18"/>
      <c r="J9" s="39" t="s">
        <v>65</v>
      </c>
    </row>
    <row r="10" spans="1:11" ht="18" customHeight="1" thickBot="1" x14ac:dyDescent="0.3">
      <c r="A10" s="15"/>
      <c r="B10" s="15"/>
      <c r="E10" s="7"/>
      <c r="F10" s="7"/>
      <c r="G10" s="7"/>
      <c r="H10" s="7"/>
      <c r="J10" s="39" t="s">
        <v>69</v>
      </c>
      <c r="K10" s="2"/>
    </row>
    <row r="11" spans="1:11" ht="16.5" thickBot="1" x14ac:dyDescent="0.3">
      <c r="A11" s="138" t="s">
        <v>38</v>
      </c>
      <c r="B11" s="139"/>
      <c r="C11" s="139"/>
      <c r="D11" s="139"/>
      <c r="E11" s="139"/>
      <c r="F11" s="139"/>
      <c r="G11" s="143" t="s">
        <v>65</v>
      </c>
      <c r="H11" s="144"/>
      <c r="J11" s="39" t="s">
        <v>62</v>
      </c>
    </row>
    <row r="12" spans="1:11" s="3" customFormat="1" ht="16.5" thickBot="1" x14ac:dyDescent="0.3">
      <c r="A12" s="145" t="s">
        <v>37</v>
      </c>
      <c r="B12" s="146"/>
      <c r="C12" s="159">
        <v>85000</v>
      </c>
      <c r="D12" s="158"/>
      <c r="E12" s="145" t="s">
        <v>48</v>
      </c>
      <c r="F12" s="146"/>
      <c r="G12" s="147"/>
      <c r="H12" s="148"/>
      <c r="I12" s="73"/>
      <c r="J12" s="40" t="s">
        <v>63</v>
      </c>
    </row>
    <row r="13" spans="1:11" x14ac:dyDescent="0.25">
      <c r="A13" s="13"/>
      <c r="B13" s="13"/>
      <c r="C13" s="12"/>
      <c r="D13" s="12"/>
      <c r="E13" s="12"/>
      <c r="F13" s="12"/>
      <c r="G13" s="12"/>
      <c r="H13" s="12"/>
      <c r="I13" s="12"/>
      <c r="J13" s="41" t="s">
        <v>61</v>
      </c>
      <c r="K13" s="3"/>
    </row>
    <row r="14" spans="1:11" ht="18.75" x14ac:dyDescent="0.25">
      <c r="A14" s="137" t="s">
        <v>4</v>
      </c>
      <c r="B14" s="137"/>
      <c r="C14" s="137"/>
      <c r="D14" s="137"/>
      <c r="E14" s="137"/>
      <c r="F14" s="137"/>
      <c r="G14" s="137" t="s">
        <v>33</v>
      </c>
      <c r="H14" s="137"/>
      <c r="I14" s="74" t="s">
        <v>114</v>
      </c>
    </row>
    <row r="15" spans="1:11" x14ac:dyDescent="0.25">
      <c r="A15" s="6" t="s">
        <v>8</v>
      </c>
      <c r="B15" s="6" t="s">
        <v>2</v>
      </c>
      <c r="C15" s="6" t="s">
        <v>49</v>
      </c>
      <c r="D15" s="6" t="s">
        <v>3</v>
      </c>
      <c r="E15" s="6" t="s">
        <v>39</v>
      </c>
      <c r="F15" s="6" t="s">
        <v>1</v>
      </c>
      <c r="G15" s="19" t="s">
        <v>45</v>
      </c>
      <c r="H15" s="19" t="s">
        <v>52</v>
      </c>
      <c r="I15" s="75"/>
    </row>
    <row r="16" spans="1:11" s="11" customFormat="1" ht="14.45" customHeight="1" x14ac:dyDescent="0.25">
      <c r="A16" s="80" t="s">
        <v>13</v>
      </c>
      <c r="B16" s="11" t="s">
        <v>219</v>
      </c>
      <c r="C16" s="81">
        <v>1</v>
      </c>
      <c r="D16" s="81" t="s">
        <v>149</v>
      </c>
      <c r="E16" s="69">
        <v>0</v>
      </c>
      <c r="F16" s="69">
        <f t="shared" ref="F16:F20" si="0">C16*E16</f>
        <v>0</v>
      </c>
      <c r="G16" s="24">
        <v>10</v>
      </c>
      <c r="H16" s="30">
        <f t="shared" ref="H16" si="1">1/G16*F16</f>
        <v>0</v>
      </c>
      <c r="I16" s="56" t="s">
        <v>156</v>
      </c>
      <c r="J16" s="42"/>
    </row>
    <row r="17" spans="1:10" s="11" customFormat="1" ht="14.45" customHeight="1" x14ac:dyDescent="0.25">
      <c r="A17" s="91" t="s">
        <v>14</v>
      </c>
      <c r="B17" s="11" t="s">
        <v>214</v>
      </c>
      <c r="C17" s="81">
        <v>1</v>
      </c>
      <c r="D17" s="81" t="s">
        <v>149</v>
      </c>
      <c r="E17" s="69">
        <f>1200+600*2+250*2</f>
        <v>2900</v>
      </c>
      <c r="F17" s="69">
        <f t="shared" si="0"/>
        <v>2900</v>
      </c>
      <c r="G17" s="24">
        <v>10</v>
      </c>
      <c r="H17" s="30">
        <f t="shared" ref="H17:H20" si="2">1/G17*F17</f>
        <v>290</v>
      </c>
      <c r="I17" s="56" t="s">
        <v>157</v>
      </c>
      <c r="J17" s="42"/>
    </row>
    <row r="18" spans="1:10" s="11" customFormat="1" ht="14.45" customHeight="1" x14ac:dyDescent="0.25">
      <c r="A18" s="91" t="s">
        <v>15</v>
      </c>
      <c r="B18" s="11" t="s">
        <v>220</v>
      </c>
      <c r="C18" s="81">
        <v>2</v>
      </c>
      <c r="D18" s="81" t="s">
        <v>3</v>
      </c>
      <c r="E18" s="69">
        <v>2200</v>
      </c>
      <c r="F18" s="69">
        <f t="shared" si="0"/>
        <v>4400</v>
      </c>
      <c r="G18" s="24">
        <v>10</v>
      </c>
      <c r="H18" s="30">
        <f t="shared" si="2"/>
        <v>440</v>
      </c>
      <c r="I18" s="56"/>
      <c r="J18" s="42"/>
    </row>
    <row r="19" spans="1:10" s="11" customFormat="1" ht="14.45" customHeight="1" x14ac:dyDescent="0.25">
      <c r="A19" s="91" t="s">
        <v>16</v>
      </c>
      <c r="B19" s="11" t="s">
        <v>93</v>
      </c>
      <c r="C19" s="81">
        <v>5</v>
      </c>
      <c r="D19" s="81" t="s">
        <v>3</v>
      </c>
      <c r="E19" s="69">
        <f>500+350</f>
        <v>850</v>
      </c>
      <c r="F19" s="69">
        <f t="shared" si="0"/>
        <v>4250</v>
      </c>
      <c r="G19" s="24">
        <v>10</v>
      </c>
      <c r="H19" s="30">
        <f t="shared" si="2"/>
        <v>425</v>
      </c>
      <c r="I19" s="56" t="s">
        <v>188</v>
      </c>
      <c r="J19" s="42"/>
    </row>
    <row r="20" spans="1:10" s="11" customFormat="1" ht="14.45" customHeight="1" x14ac:dyDescent="0.25">
      <c r="A20" s="91" t="s">
        <v>17</v>
      </c>
      <c r="B20" s="11" t="s">
        <v>94</v>
      </c>
      <c r="C20" s="81">
        <v>5</v>
      </c>
      <c r="D20" s="81" t="s">
        <v>3</v>
      </c>
      <c r="E20" s="69">
        <f>300+100</f>
        <v>400</v>
      </c>
      <c r="F20" s="69">
        <f t="shared" si="0"/>
        <v>2000</v>
      </c>
      <c r="G20" s="24">
        <v>10</v>
      </c>
      <c r="H20" s="30">
        <f t="shared" si="2"/>
        <v>200</v>
      </c>
      <c r="I20" s="56" t="s">
        <v>188</v>
      </c>
      <c r="J20" s="42"/>
    </row>
    <row r="21" spans="1:10" s="11" customFormat="1" ht="30" x14ac:dyDescent="0.25">
      <c r="A21" s="91" t="s">
        <v>32</v>
      </c>
      <c r="B21" s="105" t="s">
        <v>221</v>
      </c>
      <c r="C21" s="81">
        <v>1</v>
      </c>
      <c r="D21" s="81" t="s">
        <v>149</v>
      </c>
      <c r="E21" s="69">
        <f>2000+80*C19+30*C20</f>
        <v>2550</v>
      </c>
      <c r="F21" s="32">
        <f>C21*E21</f>
        <v>2550</v>
      </c>
      <c r="G21" s="24"/>
      <c r="H21" s="30"/>
      <c r="I21" s="56"/>
      <c r="J21" s="42"/>
    </row>
    <row r="22" spans="1:10" s="11" customFormat="1" ht="14.45" customHeight="1" x14ac:dyDescent="0.25">
      <c r="A22" s="91"/>
      <c r="C22" s="81"/>
      <c r="D22" s="81"/>
      <c r="E22" s="69"/>
      <c r="F22" s="69"/>
      <c r="G22" s="24"/>
      <c r="H22" s="30"/>
      <c r="I22" s="56"/>
      <c r="J22" s="42"/>
    </row>
    <row r="23" spans="1:10" s="7" customFormat="1" x14ac:dyDescent="0.25">
      <c r="A23" s="25" t="s">
        <v>9</v>
      </c>
      <c r="B23" s="136" t="s">
        <v>0</v>
      </c>
      <c r="C23" s="136"/>
      <c r="D23" s="136"/>
      <c r="E23" s="136"/>
      <c r="F23" s="31">
        <f>SUM(F16:F22)</f>
        <v>16100</v>
      </c>
      <c r="G23" s="20"/>
      <c r="H23" s="31">
        <f>SUM(H16:H22)</f>
        <v>1355</v>
      </c>
      <c r="I23" s="57"/>
      <c r="J23" s="40"/>
    </row>
    <row r="24" spans="1:10" x14ac:dyDescent="0.25">
      <c r="A24" s="7"/>
    </row>
    <row r="25" spans="1:10" s="166" customFormat="1" x14ac:dyDescent="0.25">
      <c r="A25" s="160"/>
      <c r="B25" s="161" t="s">
        <v>244</v>
      </c>
      <c r="C25" s="162"/>
      <c r="D25" s="162"/>
      <c r="E25" s="163"/>
      <c r="F25" s="163"/>
      <c r="G25" s="162"/>
      <c r="H25" s="162"/>
      <c r="I25" s="164"/>
      <c r="J25" s="165"/>
    </row>
    <row r="26" spans="1:10" s="107" customFormat="1" ht="14.45" customHeight="1" x14ac:dyDescent="0.25">
      <c r="A26" s="167" t="s">
        <v>13</v>
      </c>
      <c r="B26" s="107" t="s">
        <v>245</v>
      </c>
      <c r="C26" s="167">
        <v>1</v>
      </c>
      <c r="D26" s="167" t="s">
        <v>246</v>
      </c>
      <c r="E26" s="168">
        <v>3500</v>
      </c>
      <c r="F26" s="168">
        <f>C26*E26</f>
        <v>3500</v>
      </c>
      <c r="G26" s="169">
        <v>10</v>
      </c>
      <c r="H26" s="170">
        <f>1/G26*F26</f>
        <v>350</v>
      </c>
      <c r="I26" s="171"/>
      <c r="J26" s="39"/>
    </row>
    <row r="27" spans="1:10" s="107" customFormat="1" ht="14.45" customHeight="1" x14ac:dyDescent="0.25">
      <c r="A27" s="167" t="s">
        <v>14</v>
      </c>
      <c r="B27" s="107" t="s">
        <v>247</v>
      </c>
      <c r="C27" s="167">
        <v>1</v>
      </c>
      <c r="D27" s="172" t="s">
        <v>149</v>
      </c>
      <c r="E27" s="168">
        <v>3000</v>
      </c>
      <c r="F27" s="168">
        <f>C27*E27</f>
        <v>3000</v>
      </c>
      <c r="G27" s="169">
        <v>10</v>
      </c>
      <c r="H27" s="170">
        <f>1/G27*F27</f>
        <v>300</v>
      </c>
      <c r="I27" s="171" t="s">
        <v>248</v>
      </c>
      <c r="J27" s="39"/>
    </row>
    <row r="28" spans="1:10" s="107" customFormat="1" ht="30" x14ac:dyDescent="0.25">
      <c r="A28" s="167" t="s">
        <v>15</v>
      </c>
      <c r="B28" s="107" t="s">
        <v>249</v>
      </c>
      <c r="C28" s="167">
        <v>1</v>
      </c>
      <c r="D28" s="172" t="s">
        <v>3</v>
      </c>
      <c r="E28" s="168">
        <v>54000</v>
      </c>
      <c r="F28" s="168">
        <f t="shared" ref="F28" si="3">C28*E28</f>
        <v>54000</v>
      </c>
      <c r="G28" s="169">
        <v>5</v>
      </c>
      <c r="H28" s="170">
        <f t="shared" ref="H28:H31" si="4">1/G28*F28</f>
        <v>10800</v>
      </c>
      <c r="I28" s="171" t="s">
        <v>250</v>
      </c>
      <c r="J28" s="39"/>
    </row>
    <row r="29" spans="1:10" s="106" customFormat="1" x14ac:dyDescent="0.25">
      <c r="A29" s="167" t="s">
        <v>16</v>
      </c>
      <c r="B29" s="105" t="s">
        <v>262</v>
      </c>
      <c r="C29" s="172">
        <v>1</v>
      </c>
      <c r="D29" s="167" t="s">
        <v>246</v>
      </c>
      <c r="E29" s="207">
        <v>6000</v>
      </c>
      <c r="F29" s="168">
        <f>C29*E29</f>
        <v>6000</v>
      </c>
      <c r="G29" s="169">
        <v>10</v>
      </c>
      <c r="H29" s="170">
        <f t="shared" si="4"/>
        <v>600</v>
      </c>
      <c r="I29" s="171"/>
      <c r="J29" s="208"/>
    </row>
    <row r="30" spans="1:10" s="107" customFormat="1" x14ac:dyDescent="0.25">
      <c r="A30" s="167" t="s">
        <v>17</v>
      </c>
      <c r="B30" s="107" t="s">
        <v>263</v>
      </c>
      <c r="C30" s="167">
        <v>1</v>
      </c>
      <c r="D30" s="167" t="s">
        <v>246</v>
      </c>
      <c r="E30" s="168">
        <v>3000</v>
      </c>
      <c r="F30" s="168">
        <f>C30*E30</f>
        <v>3000</v>
      </c>
      <c r="G30" s="169">
        <v>10</v>
      </c>
      <c r="H30" s="170">
        <f t="shared" si="4"/>
        <v>300</v>
      </c>
      <c r="I30" s="171"/>
      <c r="J30" s="39"/>
    </row>
    <row r="31" spans="1:10" s="107" customFormat="1" x14ac:dyDescent="0.25">
      <c r="A31" s="167" t="s">
        <v>32</v>
      </c>
      <c r="B31" s="107" t="s">
        <v>251</v>
      </c>
      <c r="C31" s="167">
        <v>1</v>
      </c>
      <c r="D31" s="172" t="s">
        <v>149</v>
      </c>
      <c r="E31" s="168">
        <v>5000</v>
      </c>
      <c r="F31" s="168">
        <f>C31*E31</f>
        <v>5000</v>
      </c>
      <c r="G31" s="169">
        <v>10</v>
      </c>
      <c r="H31" s="170">
        <f t="shared" si="4"/>
        <v>500</v>
      </c>
      <c r="I31" s="171" t="s">
        <v>252</v>
      </c>
      <c r="J31" s="39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73"/>
    </row>
    <row r="33" spans="1:10" s="7" customFormat="1" x14ac:dyDescent="0.25">
      <c r="A33" s="134" t="s">
        <v>9</v>
      </c>
      <c r="B33" s="136" t="s">
        <v>253</v>
      </c>
      <c r="C33" s="136"/>
      <c r="D33" s="136"/>
      <c r="E33" s="136"/>
      <c r="F33" s="31">
        <f>SUM(F26:F32)</f>
        <v>74500</v>
      </c>
      <c r="G33" s="20"/>
      <c r="H33" s="31">
        <f>SUM(H26:H32)</f>
        <v>12850</v>
      </c>
      <c r="I33" s="57"/>
      <c r="J33" s="40"/>
    </row>
    <row r="47" spans="1:10" x14ac:dyDescent="0.25">
      <c r="A47" s="11"/>
      <c r="B47" s="11"/>
    </row>
    <row r="48" spans="1:10" x14ac:dyDescent="0.25">
      <c r="A48" s="11"/>
      <c r="B48" s="11"/>
    </row>
    <row r="49" spans="1:2" x14ac:dyDescent="0.25">
      <c r="A49" s="11"/>
      <c r="B49" s="11"/>
    </row>
    <row r="50" spans="1:2" x14ac:dyDescent="0.25">
      <c r="A50" s="11"/>
      <c r="B50" s="11"/>
    </row>
    <row r="51" spans="1:2" x14ac:dyDescent="0.25">
      <c r="A51" s="11"/>
      <c r="B51" s="11"/>
    </row>
    <row r="52" spans="1:2" x14ac:dyDescent="0.25">
      <c r="B52" s="11"/>
    </row>
  </sheetData>
  <mergeCells count="15">
    <mergeCell ref="B33:E33"/>
    <mergeCell ref="B23:E23"/>
    <mergeCell ref="A5:H5"/>
    <mergeCell ref="A7:B7"/>
    <mergeCell ref="C7:H7"/>
    <mergeCell ref="A8:B8"/>
    <mergeCell ref="C8:H8"/>
    <mergeCell ref="A11:F11"/>
    <mergeCell ref="G11:H11"/>
    <mergeCell ref="A12:B12"/>
    <mergeCell ref="E12:F12"/>
    <mergeCell ref="G12:H12"/>
    <mergeCell ref="A14:F14"/>
    <mergeCell ref="G14:H14"/>
    <mergeCell ref="C12:D12"/>
  </mergeCells>
  <dataValidations count="1">
    <dataValidation type="list" allowBlank="1" showInputMessage="1" showErrorMessage="1" sqref="G11:H11" xr:uid="{00000000-0002-0000-0000-000000000000}">
      <formula1>$J$7:$J$15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03"/>
  <sheetViews>
    <sheetView zoomScale="85" zoomScaleNormal="85" zoomScalePageLayoutView="85" workbookViewId="0">
      <pane ySplit="6" topLeftCell="A7" activePane="bottomLeft" state="frozen"/>
      <selection pane="bottomLeft" activeCell="A6" sqref="A6:E6"/>
    </sheetView>
  </sheetViews>
  <sheetFormatPr baseColWidth="10" defaultColWidth="10.85546875" defaultRowHeight="15" x14ac:dyDescent="0.25"/>
  <cols>
    <col min="1" max="1" width="10.140625" style="9" customWidth="1"/>
    <col min="2" max="2" width="43" style="9" customWidth="1"/>
    <col min="3" max="9" width="14.7109375" style="9" customWidth="1"/>
    <col min="10" max="10" width="3.42578125" style="9" customWidth="1"/>
    <col min="11" max="13" width="14.7109375" style="36" customWidth="1"/>
    <col min="14" max="14" width="65.85546875" style="53" bestFit="1" customWidth="1"/>
    <col min="15" max="15" width="19.7109375" style="9" customWidth="1"/>
    <col min="16" max="16384" width="10.85546875" style="9"/>
  </cols>
  <sheetData>
    <row r="1" spans="1:15" ht="28.5" x14ac:dyDescent="0.25">
      <c r="A1" s="26" t="s">
        <v>44</v>
      </c>
      <c r="B1" s="4"/>
      <c r="C1" s="5"/>
      <c r="D1" s="5"/>
      <c r="F1" s="10"/>
      <c r="G1" s="10"/>
      <c r="H1" s="52"/>
      <c r="I1" s="135"/>
      <c r="J1" s="10"/>
      <c r="K1" s="32"/>
      <c r="L1" s="32"/>
      <c r="M1" s="32"/>
    </row>
    <row r="2" spans="1:15" x14ac:dyDescent="0.25">
      <c r="A2" s="1"/>
      <c r="B2" s="7"/>
      <c r="C2" s="5"/>
      <c r="D2" s="5"/>
      <c r="F2" s="10"/>
      <c r="G2" s="10"/>
      <c r="H2" s="52"/>
      <c r="I2" s="135"/>
      <c r="J2" s="10"/>
      <c r="K2" s="32"/>
      <c r="L2" s="32"/>
      <c r="M2" s="32"/>
    </row>
    <row r="3" spans="1:15" ht="18.75" x14ac:dyDescent="0.25">
      <c r="A3" s="27" t="s">
        <v>55</v>
      </c>
      <c r="B3" s="4"/>
      <c r="F3" s="10"/>
      <c r="G3" s="10"/>
      <c r="H3" s="52"/>
      <c r="I3" s="135"/>
      <c r="J3" s="10"/>
      <c r="K3" s="32"/>
      <c r="L3" s="32"/>
      <c r="M3" s="32"/>
    </row>
    <row r="4" spans="1:15" ht="46.5" customHeight="1" x14ac:dyDescent="0.25">
      <c r="A4" s="173" t="s">
        <v>276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53"/>
    </row>
    <row r="5" spans="1:15" ht="5.25" customHeight="1" thickBot="1" x14ac:dyDescent="0.3">
      <c r="A5" s="1"/>
      <c r="B5" s="4"/>
      <c r="F5" s="10"/>
      <c r="G5" s="10"/>
      <c r="H5" s="52"/>
      <c r="I5" s="135"/>
      <c r="J5" s="10"/>
      <c r="K5" s="32"/>
      <c r="L5" s="32"/>
      <c r="M5" s="32"/>
    </row>
    <row r="6" spans="1:15" ht="16.5" thickBot="1" x14ac:dyDescent="0.3">
      <c r="A6" s="138" t="s">
        <v>38</v>
      </c>
      <c r="B6" s="139"/>
      <c r="C6" s="139"/>
      <c r="D6" s="139"/>
      <c r="E6" s="139"/>
      <c r="F6" s="143" t="s">
        <v>65</v>
      </c>
      <c r="G6" s="144"/>
      <c r="H6" s="52"/>
      <c r="I6" s="135"/>
      <c r="K6" s="33" t="s">
        <v>59</v>
      </c>
      <c r="L6" s="33"/>
      <c r="M6" s="33">
        <f>IF(F6="hebdomadaire",52,IF(F6="quincénaire",26,IF(F6="mensuel",12,IF(F6="trimestrielle (3mois)",4,IF(F6="semestre (6mois)",2,IF(F6="annuel",1,IF(F6="bimensuel (2mois)",6,1)))))))</f>
        <v>12</v>
      </c>
    </row>
    <row r="7" spans="1:15" ht="15.75" thickBot="1" x14ac:dyDescent="0.3">
      <c r="A7" s="1"/>
      <c r="B7" s="4"/>
      <c r="F7" s="10"/>
      <c r="G7" s="10"/>
      <c r="H7" s="52"/>
      <c r="I7" s="135"/>
      <c r="J7" s="10"/>
      <c r="K7" s="32"/>
      <c r="L7" s="32"/>
      <c r="M7" s="32"/>
    </row>
    <row r="8" spans="1:15" ht="18.75" x14ac:dyDescent="0.25">
      <c r="A8" s="137" t="s">
        <v>40</v>
      </c>
      <c r="B8" s="137"/>
      <c r="C8" s="137"/>
      <c r="D8" s="137"/>
      <c r="E8" s="137"/>
      <c r="F8" s="137"/>
      <c r="G8" s="137"/>
      <c r="H8" s="174" t="s">
        <v>117</v>
      </c>
      <c r="I8" s="175"/>
      <c r="J8" s="10"/>
      <c r="K8" s="34" t="s">
        <v>57</v>
      </c>
      <c r="L8" s="34" t="s">
        <v>56</v>
      </c>
      <c r="M8" s="34" t="s">
        <v>58</v>
      </c>
      <c r="N8" s="54" t="s">
        <v>114</v>
      </c>
      <c r="O8" s="45"/>
    </row>
    <row r="9" spans="1:15" ht="14.45" customHeight="1" x14ac:dyDescent="0.25">
      <c r="A9" s="6" t="s">
        <v>10</v>
      </c>
      <c r="B9" s="23" t="s">
        <v>34</v>
      </c>
      <c r="C9" s="6" t="s">
        <v>49</v>
      </c>
      <c r="D9" s="6" t="s">
        <v>3</v>
      </c>
      <c r="E9" s="6" t="s">
        <v>39</v>
      </c>
      <c r="F9" s="6" t="s">
        <v>3</v>
      </c>
      <c r="G9" s="6" t="s">
        <v>1</v>
      </c>
      <c r="H9" s="176" t="s">
        <v>121</v>
      </c>
      <c r="I9" s="177" t="s">
        <v>3</v>
      </c>
      <c r="J9" s="10"/>
      <c r="K9" s="35" t="s">
        <v>1</v>
      </c>
      <c r="L9" s="35" t="s">
        <v>1</v>
      </c>
      <c r="M9" s="35" t="s">
        <v>1</v>
      </c>
      <c r="N9" s="55"/>
    </row>
    <row r="10" spans="1:15" x14ac:dyDescent="0.25">
      <c r="A10" s="22"/>
      <c r="B10" s="22" t="s">
        <v>5</v>
      </c>
      <c r="C10" s="19"/>
      <c r="D10" s="19"/>
      <c r="E10" s="24"/>
      <c r="F10" s="24"/>
      <c r="G10" s="24"/>
      <c r="H10" s="178"/>
      <c r="I10" s="179"/>
      <c r="J10" s="10"/>
      <c r="K10" s="30"/>
      <c r="L10" s="30"/>
      <c r="M10" s="30"/>
      <c r="N10" s="56"/>
      <c r="O10" s="2"/>
    </row>
    <row r="11" spans="1:15" x14ac:dyDescent="0.25">
      <c r="A11" s="10" t="s">
        <v>18</v>
      </c>
      <c r="B11" s="9" t="s">
        <v>81</v>
      </c>
      <c r="C11" s="10">
        <v>1</v>
      </c>
      <c r="D11" s="10" t="s">
        <v>148</v>
      </c>
      <c r="E11" s="32">
        <v>2000</v>
      </c>
      <c r="F11" s="48" t="s">
        <v>70</v>
      </c>
      <c r="G11" s="32">
        <f>C11*E11</f>
        <v>2000</v>
      </c>
      <c r="H11" s="180">
        <f>G11</f>
        <v>2000</v>
      </c>
      <c r="I11" s="181" t="s">
        <v>70</v>
      </c>
      <c r="J11" s="10"/>
      <c r="K11" s="32">
        <f>H11*$M$6</f>
        <v>24000</v>
      </c>
      <c r="L11" s="32">
        <f>K11</f>
        <v>24000</v>
      </c>
      <c r="M11" s="32">
        <f>L11</f>
        <v>24000</v>
      </c>
      <c r="N11" s="53" t="s">
        <v>160</v>
      </c>
      <c r="O11" s="2"/>
    </row>
    <row r="12" spans="1:15" x14ac:dyDescent="0.25">
      <c r="A12" s="52" t="s">
        <v>19</v>
      </c>
      <c r="B12" s="9" t="s">
        <v>128</v>
      </c>
      <c r="C12" s="61">
        <f>1/12</f>
        <v>8.3333333333333329E-2</v>
      </c>
      <c r="D12" s="52" t="s">
        <v>149</v>
      </c>
      <c r="E12" s="32">
        <v>1500</v>
      </c>
      <c r="F12" s="52" t="s">
        <v>70</v>
      </c>
      <c r="G12" s="32">
        <f t="shared" ref="G12" si="0">C12*E12</f>
        <v>125</v>
      </c>
      <c r="H12" s="180">
        <f t="shared" ref="H12" si="1">G12</f>
        <v>125</v>
      </c>
      <c r="I12" s="181" t="s">
        <v>70</v>
      </c>
      <c r="J12" s="10"/>
      <c r="K12" s="32">
        <f>G12*$M$6</f>
        <v>1500</v>
      </c>
      <c r="L12" s="32">
        <f t="shared" ref="L12:M14" si="2">K12</f>
        <v>1500</v>
      </c>
      <c r="M12" s="32">
        <f t="shared" si="2"/>
        <v>1500</v>
      </c>
      <c r="N12" s="53" t="s">
        <v>129</v>
      </c>
      <c r="O12" s="2"/>
    </row>
    <row r="13" spans="1:15" x14ac:dyDescent="0.25">
      <c r="A13" s="10"/>
      <c r="C13" s="48"/>
      <c r="D13" s="48"/>
      <c r="E13" s="32"/>
      <c r="F13" s="48"/>
      <c r="G13" s="32"/>
      <c r="H13" s="180"/>
      <c r="I13" s="181" t="s">
        <v>70</v>
      </c>
      <c r="J13" s="10"/>
      <c r="K13" s="32"/>
      <c r="L13" s="32"/>
      <c r="M13" s="32"/>
      <c r="O13" s="29"/>
    </row>
    <row r="14" spans="1:15" x14ac:dyDescent="0.25">
      <c r="A14" s="21"/>
      <c r="B14" s="22" t="s">
        <v>6</v>
      </c>
      <c r="C14" s="19"/>
      <c r="D14" s="19"/>
      <c r="E14" s="24"/>
      <c r="F14" s="24"/>
      <c r="G14" s="70"/>
      <c r="H14" s="182"/>
      <c r="I14" s="183"/>
      <c r="J14" s="10"/>
      <c r="K14" s="30">
        <f>G14*$M$6</f>
        <v>0</v>
      </c>
      <c r="L14" s="30">
        <f t="shared" si="2"/>
        <v>0</v>
      </c>
      <c r="M14" s="30">
        <f t="shared" si="2"/>
        <v>0</v>
      </c>
      <c r="N14" s="56"/>
    </row>
    <row r="15" spans="1:15" s="28" customFormat="1" x14ac:dyDescent="0.25">
      <c r="A15" s="65"/>
      <c r="B15" s="63" t="s">
        <v>115</v>
      </c>
      <c r="C15" s="64"/>
      <c r="D15" s="64"/>
      <c r="E15" s="64"/>
      <c r="F15" s="64"/>
      <c r="G15" s="64" t="s">
        <v>131</v>
      </c>
      <c r="H15" s="184" t="s">
        <v>132</v>
      </c>
      <c r="I15" s="185"/>
      <c r="J15" s="66"/>
      <c r="K15" s="67"/>
      <c r="L15" s="67"/>
      <c r="M15" s="67"/>
      <c r="N15" s="68"/>
    </row>
    <row r="16" spans="1:15" x14ac:dyDescent="0.25">
      <c r="A16" s="80" t="s">
        <v>205</v>
      </c>
      <c r="B16" s="9" t="s">
        <v>76</v>
      </c>
      <c r="C16" s="80">
        <v>48</v>
      </c>
      <c r="D16" s="80" t="s">
        <v>145</v>
      </c>
      <c r="E16" s="32">
        <v>20</v>
      </c>
      <c r="F16" s="80" t="s">
        <v>70</v>
      </c>
      <c r="G16" s="32">
        <f t="shared" ref="G16:G42" si="3">C16*E16</f>
        <v>960</v>
      </c>
      <c r="H16" s="180">
        <f>G16*52/12</f>
        <v>4160</v>
      </c>
      <c r="I16" s="181" t="s">
        <v>70</v>
      </c>
      <c r="J16" s="80"/>
      <c r="K16" s="32">
        <f>H16*$M$6</f>
        <v>49920</v>
      </c>
      <c r="L16" s="32">
        <f>K16</f>
        <v>49920</v>
      </c>
      <c r="M16" s="32">
        <f>L16</f>
        <v>49920</v>
      </c>
    </row>
    <row r="17" spans="1:15" x14ac:dyDescent="0.25">
      <c r="A17" s="91" t="s">
        <v>20</v>
      </c>
      <c r="B17" s="9" t="s">
        <v>77</v>
      </c>
      <c r="C17" s="80">
        <v>50</v>
      </c>
      <c r="D17" s="80" t="s">
        <v>145</v>
      </c>
      <c r="E17" s="32">
        <v>20</v>
      </c>
      <c r="F17" s="80" t="s">
        <v>70</v>
      </c>
      <c r="G17" s="32">
        <f t="shared" si="3"/>
        <v>1000</v>
      </c>
      <c r="H17" s="180">
        <f t="shared" ref="H17:H20" si="4">G17*52/12</f>
        <v>4333.333333333333</v>
      </c>
      <c r="I17" s="181" t="s">
        <v>70</v>
      </c>
      <c r="J17" s="80"/>
      <c r="K17" s="32">
        <f>H17*$M$6</f>
        <v>52000</v>
      </c>
      <c r="L17" s="32">
        <f t="shared" ref="L17:M41" si="5">K17</f>
        <v>52000</v>
      </c>
      <c r="M17" s="32">
        <f t="shared" si="5"/>
        <v>52000</v>
      </c>
    </row>
    <row r="18" spans="1:15" x14ac:dyDescent="0.25">
      <c r="A18" s="91" t="s">
        <v>21</v>
      </c>
      <c r="B18" s="9" t="s">
        <v>183</v>
      </c>
      <c r="C18" s="80">
        <v>1</v>
      </c>
      <c r="D18" s="80" t="s">
        <v>184</v>
      </c>
      <c r="E18" s="32">
        <v>50</v>
      </c>
      <c r="F18" s="80" t="s">
        <v>70</v>
      </c>
      <c r="G18" s="32">
        <f t="shared" ref="G18" si="6">C18*E18</f>
        <v>50</v>
      </c>
      <c r="H18" s="180">
        <f t="shared" ref="H18" si="7">G18*52/12</f>
        <v>216.66666666666666</v>
      </c>
      <c r="I18" s="181" t="s">
        <v>70</v>
      </c>
      <c r="J18" s="80"/>
      <c r="K18" s="32">
        <f>H18*$M$6</f>
        <v>2600</v>
      </c>
      <c r="L18" s="32">
        <f t="shared" ref="L18" si="8">K18</f>
        <v>2600</v>
      </c>
      <c r="M18" s="32">
        <f t="shared" ref="M18" si="9">L18</f>
        <v>2600</v>
      </c>
      <c r="N18" s="53" t="s">
        <v>185</v>
      </c>
    </row>
    <row r="19" spans="1:15" x14ac:dyDescent="0.25">
      <c r="A19" s="91" t="s">
        <v>22</v>
      </c>
      <c r="B19" s="9" t="s">
        <v>80</v>
      </c>
      <c r="C19" s="80">
        <v>1</v>
      </c>
      <c r="D19" s="80" t="s">
        <v>154</v>
      </c>
      <c r="E19" s="32">
        <v>1200</v>
      </c>
      <c r="F19" s="80" t="s">
        <v>70</v>
      </c>
      <c r="G19" s="32">
        <f>C19*E19</f>
        <v>1200</v>
      </c>
      <c r="H19" s="180">
        <f t="shared" si="4"/>
        <v>5200</v>
      </c>
      <c r="I19" s="181" t="s">
        <v>70</v>
      </c>
      <c r="J19" s="80"/>
      <c r="K19" s="32">
        <f>H19*$M$6</f>
        <v>62400</v>
      </c>
      <c r="L19" s="32">
        <f>K19</f>
        <v>62400</v>
      </c>
      <c r="M19" s="32">
        <f>L19</f>
        <v>62400</v>
      </c>
      <c r="N19" s="53" t="s">
        <v>141</v>
      </c>
    </row>
    <row r="20" spans="1:15" x14ac:dyDescent="0.25">
      <c r="A20" s="91" t="s">
        <v>23</v>
      </c>
      <c r="B20" s="9" t="s">
        <v>127</v>
      </c>
      <c r="C20" s="80">
        <v>1</v>
      </c>
      <c r="D20" s="80" t="s">
        <v>149</v>
      </c>
      <c r="E20" s="69">
        <f>ROUNDUP(SUM(C16:C17)/2,-1)</f>
        <v>50</v>
      </c>
      <c r="F20" s="80" t="s">
        <v>70</v>
      </c>
      <c r="G20" s="32">
        <f>C20*E20</f>
        <v>50</v>
      </c>
      <c r="H20" s="180">
        <f t="shared" si="4"/>
        <v>216.66666666666666</v>
      </c>
      <c r="I20" s="181" t="s">
        <v>70</v>
      </c>
      <c r="J20" s="80"/>
      <c r="K20" s="32">
        <f>H20*$M$6</f>
        <v>2600</v>
      </c>
      <c r="L20" s="32">
        <f>K20</f>
        <v>2600</v>
      </c>
      <c r="M20" s="32">
        <f>L20</f>
        <v>2600</v>
      </c>
    </row>
    <row r="21" spans="1:15" x14ac:dyDescent="0.25">
      <c r="A21" s="52"/>
      <c r="C21" s="52"/>
      <c r="D21" s="52"/>
      <c r="E21" s="32"/>
      <c r="F21" s="52"/>
      <c r="G21" s="32"/>
      <c r="H21" s="180"/>
      <c r="I21" s="181"/>
      <c r="J21" s="52"/>
      <c r="K21" s="32"/>
      <c r="L21" s="32"/>
      <c r="M21" s="32"/>
      <c r="O21" s="2"/>
    </row>
    <row r="22" spans="1:15" s="28" customFormat="1" x14ac:dyDescent="0.25">
      <c r="A22" s="65"/>
      <c r="B22" s="63" t="s">
        <v>116</v>
      </c>
      <c r="C22" s="64"/>
      <c r="D22" s="64"/>
      <c r="E22" s="64"/>
      <c r="F22" s="64"/>
      <c r="G22" s="60" t="s">
        <v>132</v>
      </c>
      <c r="H22" s="184" t="s">
        <v>132</v>
      </c>
      <c r="I22" s="185"/>
      <c r="J22" s="66"/>
      <c r="K22" s="67"/>
      <c r="L22" s="67"/>
      <c r="M22" s="67"/>
      <c r="N22" s="68"/>
    </row>
    <row r="23" spans="1:15" s="98" customFormat="1" x14ac:dyDescent="0.25">
      <c r="A23" s="97" t="s">
        <v>24</v>
      </c>
      <c r="B23" s="98" t="s">
        <v>82</v>
      </c>
      <c r="C23" s="97">
        <v>10</v>
      </c>
      <c r="D23" s="97" t="s">
        <v>147</v>
      </c>
      <c r="E23" s="99">
        <v>1100</v>
      </c>
      <c r="F23" s="97" t="s">
        <v>70</v>
      </c>
      <c r="G23" s="99">
        <f>C23*E23</f>
        <v>11000</v>
      </c>
      <c r="H23" s="186">
        <f>G23</f>
        <v>11000</v>
      </c>
      <c r="I23" s="181" t="s">
        <v>70</v>
      </c>
      <c r="J23" s="97"/>
      <c r="K23" s="99">
        <f t="shared" ref="K23:K44" si="10">H23*$M$6</f>
        <v>132000</v>
      </c>
      <c r="L23" s="99">
        <f>K23</f>
        <v>132000</v>
      </c>
      <c r="M23" s="99">
        <f>L23</f>
        <v>132000</v>
      </c>
      <c r="N23" s="100" t="s">
        <v>218</v>
      </c>
    </row>
    <row r="24" spans="1:15" s="98" customFormat="1" x14ac:dyDescent="0.25">
      <c r="A24" s="97" t="s">
        <v>29</v>
      </c>
      <c r="B24" s="98" t="s">
        <v>84</v>
      </c>
      <c r="C24" s="97">
        <v>5</v>
      </c>
      <c r="D24" s="97" t="s">
        <v>85</v>
      </c>
      <c r="E24" s="101">
        <v>1000</v>
      </c>
      <c r="F24" s="97" t="s">
        <v>70</v>
      </c>
      <c r="G24" s="99">
        <f>C24*E24</f>
        <v>5000</v>
      </c>
      <c r="H24" s="186">
        <f t="shared" ref="H24:H44" si="11">G24</f>
        <v>5000</v>
      </c>
      <c r="I24" s="181" t="s">
        <v>70</v>
      </c>
      <c r="J24" s="97"/>
      <c r="K24" s="99">
        <f t="shared" si="10"/>
        <v>60000</v>
      </c>
      <c r="L24" s="99">
        <f t="shared" ref="L24:L34" si="12">K24</f>
        <v>60000</v>
      </c>
      <c r="M24" s="99">
        <f t="shared" ref="M24:M34" si="13">L24</f>
        <v>60000</v>
      </c>
      <c r="N24" s="100" t="s">
        <v>218</v>
      </c>
    </row>
    <row r="25" spans="1:15" s="98" customFormat="1" x14ac:dyDescent="0.25">
      <c r="A25" s="97" t="s">
        <v>30</v>
      </c>
      <c r="B25" s="98" t="s">
        <v>87</v>
      </c>
      <c r="C25" s="97">
        <v>10</v>
      </c>
      <c r="D25" s="97" t="s">
        <v>146</v>
      </c>
      <c r="E25" s="101">
        <v>290</v>
      </c>
      <c r="F25" s="97" t="s">
        <v>70</v>
      </c>
      <c r="G25" s="99">
        <f>C25*E25</f>
        <v>2900</v>
      </c>
      <c r="H25" s="186">
        <f t="shared" si="11"/>
        <v>2900</v>
      </c>
      <c r="I25" s="181" t="s">
        <v>70</v>
      </c>
      <c r="J25" s="97"/>
      <c r="K25" s="99">
        <f t="shared" si="10"/>
        <v>34800</v>
      </c>
      <c r="L25" s="99">
        <f t="shared" si="12"/>
        <v>34800</v>
      </c>
      <c r="M25" s="99">
        <f t="shared" si="13"/>
        <v>34800</v>
      </c>
      <c r="N25" s="100" t="s">
        <v>218</v>
      </c>
    </row>
    <row r="26" spans="1:15" s="98" customFormat="1" x14ac:dyDescent="0.25">
      <c r="A26" s="97" t="s">
        <v>31</v>
      </c>
      <c r="B26" s="98" t="s">
        <v>112</v>
      </c>
      <c r="C26" s="97">
        <v>20</v>
      </c>
      <c r="D26" s="97" t="s">
        <v>147</v>
      </c>
      <c r="E26" s="101">
        <v>1400</v>
      </c>
      <c r="F26" s="97" t="s">
        <v>70</v>
      </c>
      <c r="G26" s="99">
        <f t="shared" ref="G26:G27" si="14">C26*E26</f>
        <v>28000</v>
      </c>
      <c r="H26" s="186">
        <f t="shared" si="11"/>
        <v>28000</v>
      </c>
      <c r="I26" s="181" t="s">
        <v>70</v>
      </c>
      <c r="J26" s="97"/>
      <c r="K26" s="99">
        <f t="shared" si="10"/>
        <v>336000</v>
      </c>
      <c r="L26" s="99">
        <f t="shared" si="12"/>
        <v>336000</v>
      </c>
      <c r="M26" s="99">
        <f t="shared" si="13"/>
        <v>336000</v>
      </c>
      <c r="N26" s="100" t="s">
        <v>218</v>
      </c>
    </row>
    <row r="27" spans="1:15" s="98" customFormat="1" x14ac:dyDescent="0.25">
      <c r="A27" s="97" t="s">
        <v>88</v>
      </c>
      <c r="B27" s="98" t="s">
        <v>113</v>
      </c>
      <c r="C27" s="97">
        <v>25</v>
      </c>
      <c r="D27" s="97" t="s">
        <v>147</v>
      </c>
      <c r="E27" s="101">
        <v>620</v>
      </c>
      <c r="F27" s="97" t="s">
        <v>70</v>
      </c>
      <c r="G27" s="99">
        <f t="shared" si="14"/>
        <v>15500</v>
      </c>
      <c r="H27" s="186">
        <f t="shared" si="11"/>
        <v>15500</v>
      </c>
      <c r="I27" s="181" t="s">
        <v>70</v>
      </c>
      <c r="J27" s="97"/>
      <c r="K27" s="99">
        <f t="shared" si="10"/>
        <v>186000</v>
      </c>
      <c r="L27" s="99">
        <f t="shared" si="12"/>
        <v>186000</v>
      </c>
      <c r="M27" s="99">
        <f t="shared" si="13"/>
        <v>186000</v>
      </c>
      <c r="N27" s="100" t="s">
        <v>218</v>
      </c>
    </row>
    <row r="28" spans="1:15" s="98" customFormat="1" x14ac:dyDescent="0.25">
      <c r="A28" s="97" t="s">
        <v>90</v>
      </c>
      <c r="B28" s="98" t="s">
        <v>173</v>
      </c>
      <c r="C28" s="97">
        <v>1</v>
      </c>
      <c r="D28" s="97" t="s">
        <v>174</v>
      </c>
      <c r="E28" s="101">
        <v>2450</v>
      </c>
      <c r="F28" s="97" t="s">
        <v>70</v>
      </c>
      <c r="G28" s="99">
        <f>C28*E28</f>
        <v>2450</v>
      </c>
      <c r="H28" s="186">
        <f t="shared" si="11"/>
        <v>2450</v>
      </c>
      <c r="I28" s="181" t="s">
        <v>70</v>
      </c>
      <c r="J28" s="97"/>
      <c r="K28" s="99">
        <f t="shared" si="10"/>
        <v>29400</v>
      </c>
      <c r="L28" s="99">
        <f t="shared" si="12"/>
        <v>29400</v>
      </c>
      <c r="M28" s="99">
        <f t="shared" si="13"/>
        <v>29400</v>
      </c>
      <c r="N28" s="100" t="s">
        <v>218</v>
      </c>
    </row>
    <row r="29" spans="1:15" s="98" customFormat="1" x14ac:dyDescent="0.25">
      <c r="A29" s="97" t="s">
        <v>100</v>
      </c>
      <c r="B29" s="98" t="s">
        <v>163</v>
      </c>
      <c r="C29" s="97">
        <v>2</v>
      </c>
      <c r="D29" s="97" t="s">
        <v>164</v>
      </c>
      <c r="E29" s="101">
        <v>1200</v>
      </c>
      <c r="F29" s="97" t="s">
        <v>70</v>
      </c>
      <c r="G29" s="99">
        <f t="shared" ref="G29:G32" si="15">C29*E29</f>
        <v>2400</v>
      </c>
      <c r="H29" s="186">
        <f t="shared" ref="H29:H32" si="16">G29</f>
        <v>2400</v>
      </c>
      <c r="I29" s="181" t="s">
        <v>70</v>
      </c>
      <c r="J29" s="97"/>
      <c r="K29" s="99">
        <f t="shared" si="10"/>
        <v>28800</v>
      </c>
      <c r="L29" s="99">
        <f t="shared" ref="L29:L32" si="17">K29</f>
        <v>28800</v>
      </c>
      <c r="M29" s="99">
        <f t="shared" ref="M29:M32" si="18">L29</f>
        <v>28800</v>
      </c>
      <c r="N29" s="100" t="s">
        <v>218</v>
      </c>
    </row>
    <row r="30" spans="1:15" s="98" customFormat="1" x14ac:dyDescent="0.25">
      <c r="A30" s="97" t="s">
        <v>101</v>
      </c>
      <c r="B30" s="98" t="s">
        <v>158</v>
      </c>
      <c r="C30" s="97">
        <v>10</v>
      </c>
      <c r="D30" s="97" t="s">
        <v>169</v>
      </c>
      <c r="E30" s="101">
        <v>380</v>
      </c>
      <c r="F30" s="97" t="s">
        <v>70</v>
      </c>
      <c r="G30" s="99">
        <f t="shared" si="15"/>
        <v>3800</v>
      </c>
      <c r="H30" s="186">
        <f t="shared" si="16"/>
        <v>3800</v>
      </c>
      <c r="I30" s="181" t="s">
        <v>70</v>
      </c>
      <c r="J30" s="97"/>
      <c r="K30" s="99">
        <f t="shared" si="10"/>
        <v>45600</v>
      </c>
      <c r="L30" s="99">
        <f t="shared" si="17"/>
        <v>45600</v>
      </c>
      <c r="M30" s="99">
        <f t="shared" si="18"/>
        <v>45600</v>
      </c>
      <c r="N30" s="100" t="s">
        <v>218</v>
      </c>
    </row>
    <row r="31" spans="1:15" s="98" customFormat="1" x14ac:dyDescent="0.25">
      <c r="A31" s="97" t="s">
        <v>102</v>
      </c>
      <c r="B31" s="98" t="s">
        <v>159</v>
      </c>
      <c r="C31" s="97">
        <v>10</v>
      </c>
      <c r="D31" s="97" t="s">
        <v>145</v>
      </c>
      <c r="E31" s="101">
        <f>113*2</f>
        <v>226</v>
      </c>
      <c r="F31" s="97" t="s">
        <v>70</v>
      </c>
      <c r="G31" s="99">
        <f t="shared" si="15"/>
        <v>2260</v>
      </c>
      <c r="H31" s="186">
        <f t="shared" si="16"/>
        <v>2260</v>
      </c>
      <c r="I31" s="181" t="s">
        <v>70</v>
      </c>
      <c r="J31" s="97"/>
      <c r="K31" s="99">
        <f t="shared" si="10"/>
        <v>27120</v>
      </c>
      <c r="L31" s="99">
        <f t="shared" si="17"/>
        <v>27120</v>
      </c>
      <c r="M31" s="99">
        <f t="shared" si="18"/>
        <v>27120</v>
      </c>
      <c r="N31" s="100" t="s">
        <v>218</v>
      </c>
    </row>
    <row r="32" spans="1:15" s="98" customFormat="1" x14ac:dyDescent="0.25">
      <c r="A32" s="97" t="s">
        <v>103</v>
      </c>
      <c r="B32" s="98" t="s">
        <v>171</v>
      </c>
      <c r="C32" s="97">
        <v>5</v>
      </c>
      <c r="D32" s="97" t="s">
        <v>170</v>
      </c>
      <c r="E32" s="101">
        <v>300</v>
      </c>
      <c r="F32" s="97" t="s">
        <v>70</v>
      </c>
      <c r="G32" s="99">
        <f t="shared" si="15"/>
        <v>1500</v>
      </c>
      <c r="H32" s="186">
        <f t="shared" si="16"/>
        <v>1500</v>
      </c>
      <c r="I32" s="181" t="s">
        <v>70</v>
      </c>
      <c r="J32" s="97"/>
      <c r="K32" s="99">
        <f t="shared" si="10"/>
        <v>18000</v>
      </c>
      <c r="L32" s="99">
        <f t="shared" si="17"/>
        <v>18000</v>
      </c>
      <c r="M32" s="99">
        <f t="shared" si="18"/>
        <v>18000</v>
      </c>
      <c r="N32" s="100" t="s">
        <v>218</v>
      </c>
    </row>
    <row r="33" spans="1:17" s="98" customFormat="1" x14ac:dyDescent="0.25">
      <c r="A33" s="97" t="s">
        <v>104</v>
      </c>
      <c r="B33" s="98" t="s">
        <v>161</v>
      </c>
      <c r="C33" s="97">
        <v>3</v>
      </c>
      <c r="D33" s="97" t="s">
        <v>172</v>
      </c>
      <c r="E33" s="101">
        <v>300</v>
      </c>
      <c r="F33" s="97" t="s">
        <v>70</v>
      </c>
      <c r="G33" s="99">
        <f t="shared" ref="G33" si="19">C33*E33</f>
        <v>900</v>
      </c>
      <c r="H33" s="186">
        <f t="shared" ref="H33" si="20">G33</f>
        <v>900</v>
      </c>
      <c r="I33" s="181" t="s">
        <v>70</v>
      </c>
      <c r="J33" s="97"/>
      <c r="K33" s="99">
        <f t="shared" si="10"/>
        <v>10800</v>
      </c>
      <c r="L33" s="99">
        <f t="shared" ref="L33" si="21">K33</f>
        <v>10800</v>
      </c>
      <c r="M33" s="99">
        <f t="shared" ref="M33" si="22">L33</f>
        <v>10800</v>
      </c>
      <c r="N33" s="100" t="s">
        <v>218</v>
      </c>
    </row>
    <row r="34" spans="1:17" s="98" customFormat="1" x14ac:dyDescent="0.25">
      <c r="A34" s="97" t="s">
        <v>105</v>
      </c>
      <c r="B34" s="98" t="s">
        <v>83</v>
      </c>
      <c r="C34" s="97">
        <v>1</v>
      </c>
      <c r="D34" s="97" t="s">
        <v>154</v>
      </c>
      <c r="E34" s="101">
        <f>50*(C23+C26+C27+2)+30*(C24+C25)</f>
        <v>3300</v>
      </c>
      <c r="F34" s="97" t="s">
        <v>70</v>
      </c>
      <c r="G34" s="99">
        <f t="shared" ref="G34" si="23">C34*E34</f>
        <v>3300</v>
      </c>
      <c r="H34" s="186">
        <f t="shared" si="11"/>
        <v>3300</v>
      </c>
      <c r="I34" s="181" t="s">
        <v>70</v>
      </c>
      <c r="J34" s="97"/>
      <c r="K34" s="99">
        <f t="shared" si="10"/>
        <v>39600</v>
      </c>
      <c r="L34" s="99">
        <f t="shared" si="12"/>
        <v>39600</v>
      </c>
      <c r="M34" s="99">
        <f t="shared" si="13"/>
        <v>39600</v>
      </c>
      <c r="N34" s="100" t="s">
        <v>215</v>
      </c>
      <c r="O34" s="28"/>
    </row>
    <row r="35" spans="1:17" s="102" customFormat="1" x14ac:dyDescent="0.25">
      <c r="A35" s="97" t="s">
        <v>106</v>
      </c>
      <c r="B35" s="102" t="s">
        <v>95</v>
      </c>
      <c r="C35" s="103">
        <f>'Info general'!C19</f>
        <v>5</v>
      </c>
      <c r="D35" s="103" t="s">
        <v>155</v>
      </c>
      <c r="E35" s="101">
        <v>300</v>
      </c>
      <c r="F35" s="103" t="s">
        <v>70</v>
      </c>
      <c r="G35" s="101">
        <f t="shared" ref="G35:G36" si="24">C35*E35</f>
        <v>1500</v>
      </c>
      <c r="H35" s="187">
        <f t="shared" si="11"/>
        <v>1500</v>
      </c>
      <c r="I35" s="181" t="s">
        <v>70</v>
      </c>
      <c r="J35" s="103"/>
      <c r="K35" s="101">
        <f t="shared" si="10"/>
        <v>18000</v>
      </c>
      <c r="L35" s="101">
        <f t="shared" ref="L35:L37" si="25">K35</f>
        <v>18000</v>
      </c>
      <c r="M35" s="101">
        <f t="shared" ref="M35:M37" si="26">L35</f>
        <v>18000</v>
      </c>
      <c r="N35" s="104" t="s">
        <v>216</v>
      </c>
    </row>
    <row r="36" spans="1:17" s="102" customFormat="1" x14ac:dyDescent="0.25">
      <c r="A36" s="97" t="s">
        <v>107</v>
      </c>
      <c r="B36" s="102" t="s">
        <v>96</v>
      </c>
      <c r="C36" s="103">
        <f>'Info general'!C20</f>
        <v>5</v>
      </c>
      <c r="D36" s="103" t="s">
        <v>155</v>
      </c>
      <c r="E36" s="101">
        <v>90</v>
      </c>
      <c r="F36" s="103" t="s">
        <v>70</v>
      </c>
      <c r="G36" s="101">
        <f t="shared" si="24"/>
        <v>450</v>
      </c>
      <c r="H36" s="187">
        <f t="shared" si="11"/>
        <v>450</v>
      </c>
      <c r="I36" s="181" t="s">
        <v>70</v>
      </c>
      <c r="J36" s="103"/>
      <c r="K36" s="101">
        <f t="shared" si="10"/>
        <v>5400</v>
      </c>
      <c r="L36" s="101">
        <f t="shared" si="25"/>
        <v>5400</v>
      </c>
      <c r="M36" s="101">
        <f t="shared" si="26"/>
        <v>5400</v>
      </c>
      <c r="N36" s="104" t="s">
        <v>216</v>
      </c>
    </row>
    <row r="37" spans="1:17" s="98" customFormat="1" x14ac:dyDescent="0.25">
      <c r="A37" s="97" t="s">
        <v>108</v>
      </c>
      <c r="B37" s="98" t="s">
        <v>135</v>
      </c>
      <c r="C37" s="97">
        <v>12</v>
      </c>
      <c r="D37" s="97" t="s">
        <v>177</v>
      </c>
      <c r="E37" s="101">
        <v>230</v>
      </c>
      <c r="F37" s="97" t="s">
        <v>70</v>
      </c>
      <c r="G37" s="99">
        <f>C37*E37</f>
        <v>2760</v>
      </c>
      <c r="H37" s="186">
        <f t="shared" ref="H37" si="27">G37</f>
        <v>2760</v>
      </c>
      <c r="I37" s="181" t="s">
        <v>70</v>
      </c>
      <c r="J37" s="97"/>
      <c r="K37" s="99">
        <f t="shared" si="10"/>
        <v>33120</v>
      </c>
      <c r="L37" s="99">
        <f t="shared" si="25"/>
        <v>33120</v>
      </c>
      <c r="M37" s="99">
        <f t="shared" si="26"/>
        <v>33120</v>
      </c>
      <c r="N37" s="100" t="s">
        <v>222</v>
      </c>
    </row>
    <row r="38" spans="1:17" s="98" customFormat="1" x14ac:dyDescent="0.25">
      <c r="A38" s="97" t="s">
        <v>191</v>
      </c>
      <c r="B38" s="98" t="s">
        <v>256</v>
      </c>
      <c r="C38" s="97">
        <v>12</v>
      </c>
      <c r="D38" s="103" t="s">
        <v>153</v>
      </c>
      <c r="E38" s="99">
        <v>115</v>
      </c>
      <c r="F38" s="97" t="s">
        <v>70</v>
      </c>
      <c r="G38" s="99">
        <f t="shared" si="3"/>
        <v>1380</v>
      </c>
      <c r="H38" s="186">
        <f t="shared" si="11"/>
        <v>1380</v>
      </c>
      <c r="I38" s="181" t="s">
        <v>70</v>
      </c>
      <c r="J38" s="97"/>
      <c r="K38" s="99">
        <f t="shared" si="10"/>
        <v>16560</v>
      </c>
      <c r="L38" s="99">
        <f t="shared" si="5"/>
        <v>16560</v>
      </c>
      <c r="M38" s="99">
        <f t="shared" si="5"/>
        <v>16560</v>
      </c>
      <c r="N38" s="100" t="s">
        <v>217</v>
      </c>
    </row>
    <row r="39" spans="1:17" s="98" customFormat="1" x14ac:dyDescent="0.25">
      <c r="A39" s="97" t="s">
        <v>192</v>
      </c>
      <c r="B39" s="98" t="s">
        <v>257</v>
      </c>
      <c r="C39" s="97">
        <v>10</v>
      </c>
      <c r="D39" s="103" t="s">
        <v>153</v>
      </c>
      <c r="E39" s="99">
        <v>180</v>
      </c>
      <c r="F39" s="97" t="s">
        <v>70</v>
      </c>
      <c r="G39" s="99">
        <f t="shared" ref="G39" si="28">C39*E39</f>
        <v>1800</v>
      </c>
      <c r="H39" s="186">
        <f t="shared" ref="H39" si="29">G39</f>
        <v>1800</v>
      </c>
      <c r="I39" s="181" t="s">
        <v>70</v>
      </c>
      <c r="J39" s="97"/>
      <c r="K39" s="99">
        <f t="shared" si="10"/>
        <v>21600</v>
      </c>
      <c r="L39" s="99">
        <f t="shared" ref="L39" si="30">K39</f>
        <v>21600</v>
      </c>
      <c r="M39" s="99">
        <f t="shared" ref="M39" si="31">L39</f>
        <v>21600</v>
      </c>
      <c r="N39" s="100" t="s">
        <v>217</v>
      </c>
    </row>
    <row r="40" spans="1:17" s="98" customFormat="1" x14ac:dyDescent="0.25">
      <c r="A40" s="97" t="s">
        <v>193</v>
      </c>
      <c r="B40" s="98" t="s">
        <v>258</v>
      </c>
      <c r="C40" s="97">
        <v>12</v>
      </c>
      <c r="D40" s="103" t="s">
        <v>153</v>
      </c>
      <c r="E40" s="99">
        <f>1500/12</f>
        <v>125</v>
      </c>
      <c r="F40" s="97" t="s">
        <v>70</v>
      </c>
      <c r="G40" s="99">
        <f t="shared" si="3"/>
        <v>1500</v>
      </c>
      <c r="H40" s="186">
        <f t="shared" si="11"/>
        <v>1500</v>
      </c>
      <c r="I40" s="181" t="s">
        <v>70</v>
      </c>
      <c r="J40" s="97"/>
      <c r="K40" s="99">
        <f t="shared" si="10"/>
        <v>18000</v>
      </c>
      <c r="L40" s="99">
        <f t="shared" si="5"/>
        <v>18000</v>
      </c>
      <c r="M40" s="99">
        <f t="shared" si="5"/>
        <v>18000</v>
      </c>
      <c r="N40" s="100" t="s">
        <v>217</v>
      </c>
    </row>
    <row r="41" spans="1:17" s="98" customFormat="1" x14ac:dyDescent="0.25">
      <c r="A41" s="97" t="s">
        <v>194</v>
      </c>
      <c r="B41" s="98" t="s">
        <v>259</v>
      </c>
      <c r="C41" s="97">
        <v>12</v>
      </c>
      <c r="D41" s="103" t="s">
        <v>153</v>
      </c>
      <c r="E41" s="99">
        <v>110</v>
      </c>
      <c r="F41" s="97" t="s">
        <v>70</v>
      </c>
      <c r="G41" s="99">
        <f t="shared" si="3"/>
        <v>1320</v>
      </c>
      <c r="H41" s="186">
        <f t="shared" si="11"/>
        <v>1320</v>
      </c>
      <c r="I41" s="181" t="s">
        <v>70</v>
      </c>
      <c r="J41" s="97"/>
      <c r="K41" s="99">
        <f t="shared" si="10"/>
        <v>15840</v>
      </c>
      <c r="L41" s="99">
        <f t="shared" si="5"/>
        <v>15840</v>
      </c>
      <c r="M41" s="99">
        <f t="shared" si="5"/>
        <v>15840</v>
      </c>
      <c r="N41" s="100" t="s">
        <v>217</v>
      </c>
    </row>
    <row r="42" spans="1:17" s="98" customFormat="1" x14ac:dyDescent="0.25">
      <c r="A42" s="97" t="s">
        <v>195</v>
      </c>
      <c r="B42" s="98" t="s">
        <v>260</v>
      </c>
      <c r="C42" s="97">
        <v>5</v>
      </c>
      <c r="D42" s="103" t="s">
        <v>153</v>
      </c>
      <c r="E42" s="99">
        <v>250</v>
      </c>
      <c r="F42" s="97" t="s">
        <v>70</v>
      </c>
      <c r="G42" s="99">
        <f t="shared" si="3"/>
        <v>1250</v>
      </c>
      <c r="H42" s="186">
        <f t="shared" si="11"/>
        <v>1250</v>
      </c>
      <c r="I42" s="181" t="s">
        <v>70</v>
      </c>
      <c r="J42" s="97"/>
      <c r="K42" s="99">
        <f t="shared" si="10"/>
        <v>15000</v>
      </c>
      <c r="L42" s="99">
        <f t="shared" ref="L42" si="32">K42</f>
        <v>15000</v>
      </c>
      <c r="M42" s="99">
        <f t="shared" ref="M42" si="33">L42</f>
        <v>15000</v>
      </c>
      <c r="N42" s="100" t="s">
        <v>217</v>
      </c>
    </row>
    <row r="43" spans="1:17" s="98" customFormat="1" x14ac:dyDescent="0.25">
      <c r="A43" s="97" t="s">
        <v>196</v>
      </c>
      <c r="B43" s="98" t="s">
        <v>261</v>
      </c>
      <c r="C43" s="97">
        <v>1</v>
      </c>
      <c r="D43" s="97" t="s">
        <v>154</v>
      </c>
      <c r="E43" s="99">
        <v>500</v>
      </c>
      <c r="F43" s="97" t="s">
        <v>70</v>
      </c>
      <c r="G43" s="99">
        <f t="shared" ref="G43:G44" si="34">C43*E43</f>
        <v>500</v>
      </c>
      <c r="H43" s="186">
        <f t="shared" si="11"/>
        <v>500</v>
      </c>
      <c r="I43" s="181" t="s">
        <v>70</v>
      </c>
      <c r="J43" s="97"/>
      <c r="K43" s="99">
        <f t="shared" si="10"/>
        <v>6000</v>
      </c>
      <c r="L43" s="99">
        <f t="shared" ref="L43:L44" si="35">K43</f>
        <v>6000</v>
      </c>
      <c r="M43" s="99">
        <f t="shared" ref="M43:M44" si="36">L43</f>
        <v>6000</v>
      </c>
      <c r="N43" s="100" t="s">
        <v>182</v>
      </c>
      <c r="O43" s="29"/>
    </row>
    <row r="44" spans="1:17" s="98" customFormat="1" x14ac:dyDescent="0.25">
      <c r="A44" s="97" t="s">
        <v>197</v>
      </c>
      <c r="B44" s="98" t="s">
        <v>127</v>
      </c>
      <c r="C44" s="97">
        <v>1</v>
      </c>
      <c r="D44" s="97" t="s">
        <v>149</v>
      </c>
      <c r="E44" s="99">
        <v>400</v>
      </c>
      <c r="F44" s="97" t="s">
        <v>70</v>
      </c>
      <c r="G44" s="99">
        <f t="shared" si="34"/>
        <v>400</v>
      </c>
      <c r="H44" s="186">
        <f t="shared" si="11"/>
        <v>400</v>
      </c>
      <c r="I44" s="181" t="s">
        <v>70</v>
      </c>
      <c r="J44" s="97"/>
      <c r="K44" s="99">
        <f t="shared" si="10"/>
        <v>4800</v>
      </c>
      <c r="L44" s="99">
        <f t="shared" si="35"/>
        <v>4800</v>
      </c>
      <c r="M44" s="99">
        <f t="shared" si="36"/>
        <v>4800</v>
      </c>
      <c r="N44" s="100"/>
      <c r="O44" s="2"/>
    </row>
    <row r="45" spans="1:17" x14ac:dyDescent="0.25">
      <c r="A45" s="135"/>
      <c r="C45" s="135"/>
      <c r="D45" s="135"/>
      <c r="E45" s="32"/>
      <c r="F45" s="135"/>
      <c r="G45" s="32"/>
      <c r="H45" s="180"/>
      <c r="I45" s="181"/>
      <c r="J45" s="81"/>
      <c r="K45" s="32"/>
      <c r="L45" s="32"/>
      <c r="M45" s="32"/>
    </row>
    <row r="46" spans="1:17" x14ac:dyDescent="0.25">
      <c r="A46" s="21"/>
      <c r="B46" s="161" t="s">
        <v>254</v>
      </c>
      <c r="C46" s="19"/>
      <c r="D46" s="19"/>
      <c r="E46" s="24"/>
      <c r="F46" s="24"/>
      <c r="G46" s="24"/>
      <c r="H46" s="178"/>
      <c r="I46" s="179"/>
      <c r="J46" s="81"/>
      <c r="K46" s="30"/>
      <c r="L46" s="30"/>
      <c r="M46" s="30"/>
      <c r="N46" s="30"/>
      <c r="O46" s="2"/>
      <c r="P46" s="2"/>
    </row>
    <row r="47" spans="1:17" s="166" customFormat="1" x14ac:dyDescent="0.25">
      <c r="A47" s="199" t="s">
        <v>18</v>
      </c>
      <c r="B47" s="200" t="s">
        <v>128</v>
      </c>
      <c r="C47" s="201">
        <f>1/6</f>
        <v>0.16666666666666666</v>
      </c>
      <c r="D47" s="199" t="s">
        <v>149</v>
      </c>
      <c r="E47" s="202">
        <v>1500</v>
      </c>
      <c r="F47" s="199" t="s">
        <v>70</v>
      </c>
      <c r="G47" s="202">
        <f t="shared" ref="G47" si="37">C47*E47</f>
        <v>250</v>
      </c>
      <c r="H47" s="203"/>
      <c r="I47" s="204" t="s">
        <v>70</v>
      </c>
      <c r="J47" s="81"/>
      <c r="K47" s="202"/>
      <c r="L47" s="202">
        <f>G47*$M$6</f>
        <v>3000</v>
      </c>
      <c r="M47" s="202">
        <f>L47</f>
        <v>3000</v>
      </c>
      <c r="N47" s="205" t="s">
        <v>255</v>
      </c>
      <c r="O47" s="2"/>
      <c r="Q47" s="206"/>
    </row>
    <row r="48" spans="1:17" x14ac:dyDescent="0.25">
      <c r="A48" s="10"/>
      <c r="C48" s="10"/>
      <c r="D48" s="10"/>
      <c r="E48" s="32"/>
      <c r="F48" s="10"/>
      <c r="G48" s="32"/>
      <c r="H48" s="180"/>
      <c r="I48" s="181"/>
      <c r="J48" s="10"/>
      <c r="K48" s="32"/>
      <c r="L48" s="32"/>
      <c r="M48" s="32"/>
    </row>
    <row r="49" spans="1:14" s="7" customFormat="1" x14ac:dyDescent="0.25">
      <c r="A49" s="25" t="s">
        <v>7</v>
      </c>
      <c r="B49" s="136" t="s">
        <v>0</v>
      </c>
      <c r="C49" s="136"/>
      <c r="D49" s="136"/>
      <c r="E49" s="136"/>
      <c r="F49" s="136"/>
      <c r="G49" s="31"/>
      <c r="H49" s="188">
        <f>SUM(H10:H48)</f>
        <v>108121.66666666666</v>
      </c>
      <c r="I49" s="189" t="s">
        <v>70</v>
      </c>
      <c r="J49" s="8"/>
      <c r="K49" s="31">
        <f>SUM(K10:K48)</f>
        <v>1297460</v>
      </c>
      <c r="L49" s="31">
        <f>SUM(L10:L48)</f>
        <v>1300460</v>
      </c>
      <c r="M49" s="31">
        <f>SUM(M10:M48)</f>
        <v>1300460</v>
      </c>
      <c r="N49" s="57"/>
    </row>
    <row r="50" spans="1:14" ht="24" customHeight="1" x14ac:dyDescent="0.25">
      <c r="G50" s="45"/>
      <c r="H50" s="190"/>
      <c r="I50" s="191"/>
      <c r="J50" s="10"/>
    </row>
    <row r="51" spans="1:14" ht="18.75" x14ac:dyDescent="0.25">
      <c r="A51" s="137" t="s">
        <v>41</v>
      </c>
      <c r="B51" s="137"/>
      <c r="C51" s="137"/>
      <c r="D51" s="137"/>
      <c r="E51" s="137"/>
      <c r="F51" s="137"/>
      <c r="G51" s="137"/>
      <c r="H51" s="192" t="s">
        <v>117</v>
      </c>
      <c r="I51" s="193"/>
      <c r="J51" s="10"/>
      <c r="K51" s="34" t="s">
        <v>57</v>
      </c>
      <c r="L51" s="34" t="s">
        <v>56</v>
      </c>
      <c r="M51" s="34" t="s">
        <v>58</v>
      </c>
      <c r="N51" s="54"/>
    </row>
    <row r="52" spans="1:14" x14ac:dyDescent="0.25">
      <c r="A52" s="6" t="s">
        <v>11</v>
      </c>
      <c r="B52" s="6" t="s">
        <v>42</v>
      </c>
      <c r="C52" s="6" t="s">
        <v>49</v>
      </c>
      <c r="D52" s="6" t="s">
        <v>3</v>
      </c>
      <c r="E52" s="6" t="s">
        <v>43</v>
      </c>
      <c r="F52" s="6" t="s">
        <v>3</v>
      </c>
      <c r="G52" s="6" t="s">
        <v>1</v>
      </c>
      <c r="H52" s="176" t="s">
        <v>121</v>
      </c>
      <c r="I52" s="177" t="s">
        <v>3</v>
      </c>
      <c r="J52" s="10"/>
      <c r="K52" s="35" t="s">
        <v>1</v>
      </c>
      <c r="L52" s="35" t="s">
        <v>1</v>
      </c>
      <c r="M52" s="35" t="s">
        <v>1</v>
      </c>
      <c r="N52" s="55"/>
    </row>
    <row r="53" spans="1:14" s="28" customFormat="1" x14ac:dyDescent="0.25">
      <c r="A53" s="65"/>
      <c r="B53" s="63" t="s">
        <v>119</v>
      </c>
      <c r="C53" s="64"/>
      <c r="D53" s="64"/>
      <c r="E53" s="64"/>
      <c r="F53" s="64"/>
      <c r="G53" s="64" t="s">
        <v>131</v>
      </c>
      <c r="H53" s="184" t="s">
        <v>132</v>
      </c>
      <c r="I53" s="185"/>
      <c r="J53" s="66"/>
      <c r="K53" s="67"/>
      <c r="L53" s="67"/>
      <c r="M53" s="67"/>
      <c r="N53" s="68"/>
    </row>
    <row r="54" spans="1:14" x14ac:dyDescent="0.25">
      <c r="A54" s="80" t="s">
        <v>25</v>
      </c>
      <c r="B54" s="9" t="s">
        <v>76</v>
      </c>
      <c r="C54" s="80">
        <f>C16</f>
        <v>48</v>
      </c>
      <c r="D54" s="80" t="str">
        <f>D16</f>
        <v>kg</v>
      </c>
      <c r="E54" s="32">
        <v>70</v>
      </c>
      <c r="F54" s="80" t="s">
        <v>70</v>
      </c>
      <c r="G54" s="32">
        <f t="shared" ref="G54:G55" si="38">C54*E54</f>
        <v>3360</v>
      </c>
      <c r="H54" s="180">
        <f>G54*52/12</f>
        <v>14560</v>
      </c>
      <c r="I54" s="181" t="s">
        <v>70</v>
      </c>
      <c r="J54" s="80"/>
      <c r="K54" s="32">
        <f>H54*$M$6</f>
        <v>174720</v>
      </c>
      <c r="L54" s="32">
        <f t="shared" ref="L54:M54" si="39">K54</f>
        <v>174720</v>
      </c>
      <c r="M54" s="32">
        <f t="shared" si="39"/>
        <v>174720</v>
      </c>
    </row>
    <row r="55" spans="1:14" x14ac:dyDescent="0.25">
      <c r="A55" s="80" t="s">
        <v>26</v>
      </c>
      <c r="B55" s="9" t="s">
        <v>77</v>
      </c>
      <c r="C55" s="80">
        <v>48</v>
      </c>
      <c r="D55" s="80" t="str">
        <f>D17</f>
        <v>kg</v>
      </c>
      <c r="E55" s="32">
        <v>40</v>
      </c>
      <c r="F55" s="80" t="s">
        <v>70</v>
      </c>
      <c r="G55" s="32">
        <f t="shared" si="38"/>
        <v>1920</v>
      </c>
      <c r="H55" s="180">
        <f t="shared" ref="H55" si="40">G55*52/12</f>
        <v>8320</v>
      </c>
      <c r="I55" s="181" t="s">
        <v>70</v>
      </c>
      <c r="J55" s="80"/>
      <c r="K55" s="32">
        <f>H55*$M$6</f>
        <v>99840</v>
      </c>
      <c r="L55" s="32">
        <f t="shared" ref="L55:M55" si="41">K55</f>
        <v>99840</v>
      </c>
      <c r="M55" s="32">
        <f t="shared" si="41"/>
        <v>99840</v>
      </c>
      <c r="N55" s="53" t="s">
        <v>207</v>
      </c>
    </row>
    <row r="56" spans="1:14" s="11" customFormat="1" x14ac:dyDescent="0.25">
      <c r="A56" s="52"/>
      <c r="B56" s="9"/>
      <c r="C56" s="62"/>
      <c r="D56" s="52"/>
      <c r="E56" s="32"/>
      <c r="F56" s="52"/>
      <c r="G56" s="32"/>
      <c r="H56" s="180"/>
      <c r="I56" s="181"/>
      <c r="J56" s="52"/>
      <c r="K56" s="32"/>
      <c r="L56" s="32"/>
      <c r="M56" s="32"/>
      <c r="N56" s="53"/>
    </row>
    <row r="57" spans="1:14" s="28" customFormat="1" x14ac:dyDescent="0.25">
      <c r="A57" s="65"/>
      <c r="B57" s="63" t="s">
        <v>120</v>
      </c>
      <c r="C57" s="64"/>
      <c r="D57" s="64"/>
      <c r="E57" s="64"/>
      <c r="F57" s="64"/>
      <c r="G57" s="60" t="s">
        <v>132</v>
      </c>
      <c r="H57" s="184" t="s">
        <v>132</v>
      </c>
      <c r="I57" s="185"/>
      <c r="J57" s="66"/>
      <c r="K57" s="67"/>
      <c r="L57" s="67"/>
      <c r="M57" s="67"/>
      <c r="N57" s="68"/>
    </row>
    <row r="58" spans="1:14" x14ac:dyDescent="0.25">
      <c r="A58" s="52" t="s">
        <v>27</v>
      </c>
      <c r="B58" s="9" t="s">
        <v>82</v>
      </c>
      <c r="C58" s="52">
        <f>C23*50</f>
        <v>500</v>
      </c>
      <c r="D58" s="52" t="s">
        <v>145</v>
      </c>
      <c r="E58" s="32">
        <f>30*0.5+1250/50*0.5</f>
        <v>27.5</v>
      </c>
      <c r="F58" s="52" t="s">
        <v>70</v>
      </c>
      <c r="G58" s="32">
        <f t="shared" ref="G58:G71" si="42">C58*E58</f>
        <v>13750</v>
      </c>
      <c r="H58" s="180">
        <f t="shared" ref="H58:H71" si="43">G58</f>
        <v>13750</v>
      </c>
      <c r="I58" s="181" t="s">
        <v>70</v>
      </c>
      <c r="J58" s="52"/>
      <c r="K58" s="32">
        <f t="shared" ref="K58:K77" si="44">H58*$M$6</f>
        <v>165000</v>
      </c>
      <c r="L58" s="32">
        <f t="shared" ref="L58:M64" si="45">K58</f>
        <v>165000</v>
      </c>
      <c r="M58" s="32">
        <f t="shared" si="45"/>
        <v>165000</v>
      </c>
      <c r="N58" s="53" t="s">
        <v>167</v>
      </c>
    </row>
    <row r="59" spans="1:14" x14ac:dyDescent="0.25">
      <c r="A59" s="80" t="s">
        <v>78</v>
      </c>
      <c r="B59" s="9" t="s">
        <v>84</v>
      </c>
      <c r="C59" s="52">
        <f>C24*20</f>
        <v>100</v>
      </c>
      <c r="D59" s="52" t="s">
        <v>86</v>
      </c>
      <c r="E59" s="32">
        <v>60</v>
      </c>
      <c r="F59" s="52" t="s">
        <v>70</v>
      </c>
      <c r="G59" s="32">
        <f t="shared" si="42"/>
        <v>6000</v>
      </c>
      <c r="H59" s="180">
        <f t="shared" si="43"/>
        <v>6000</v>
      </c>
      <c r="I59" s="181" t="s">
        <v>70</v>
      </c>
      <c r="J59" s="52"/>
      <c r="K59" s="32">
        <f t="shared" si="44"/>
        <v>72000</v>
      </c>
      <c r="L59" s="32">
        <f t="shared" si="45"/>
        <v>72000</v>
      </c>
      <c r="M59" s="32">
        <f t="shared" si="45"/>
        <v>72000</v>
      </c>
    </row>
    <row r="60" spans="1:14" x14ac:dyDescent="0.25">
      <c r="A60" s="80" t="s">
        <v>79</v>
      </c>
      <c r="B60" s="9" t="s">
        <v>150</v>
      </c>
      <c r="C60" s="80">
        <f>C24</f>
        <v>5</v>
      </c>
      <c r="D60" s="80" t="s">
        <v>151</v>
      </c>
      <c r="E60" s="32">
        <v>50</v>
      </c>
      <c r="F60" s="80" t="s">
        <v>70</v>
      </c>
      <c r="G60" s="32">
        <f t="shared" ref="G60" si="46">C60*E60</f>
        <v>250</v>
      </c>
      <c r="H60" s="180">
        <f t="shared" ref="H60" si="47">G60</f>
        <v>250</v>
      </c>
      <c r="I60" s="181" t="s">
        <v>70</v>
      </c>
      <c r="J60" s="80"/>
      <c r="K60" s="32">
        <f t="shared" si="44"/>
        <v>3000</v>
      </c>
      <c r="L60" s="32">
        <f t="shared" ref="L60" si="48">K60</f>
        <v>3000</v>
      </c>
      <c r="M60" s="32">
        <f t="shared" ref="M60" si="49">L60</f>
        <v>3000</v>
      </c>
      <c r="N60" s="53" t="s">
        <v>152</v>
      </c>
    </row>
    <row r="61" spans="1:14" x14ac:dyDescent="0.25">
      <c r="A61" s="80" t="s">
        <v>137</v>
      </c>
      <c r="B61" s="9" t="s">
        <v>87</v>
      </c>
      <c r="C61" s="52">
        <f>C25*10</f>
        <v>100</v>
      </c>
      <c r="D61" s="52" t="s">
        <v>145</v>
      </c>
      <c r="E61" s="32">
        <v>40</v>
      </c>
      <c r="F61" s="52" t="s">
        <v>70</v>
      </c>
      <c r="G61" s="32">
        <f t="shared" si="42"/>
        <v>4000</v>
      </c>
      <c r="H61" s="180">
        <f t="shared" si="43"/>
        <v>4000</v>
      </c>
      <c r="I61" s="181" t="s">
        <v>70</v>
      </c>
      <c r="J61" s="52"/>
      <c r="K61" s="32">
        <f t="shared" si="44"/>
        <v>48000</v>
      </c>
      <c r="L61" s="32">
        <f t="shared" si="45"/>
        <v>48000</v>
      </c>
      <c r="M61" s="32">
        <f t="shared" si="45"/>
        <v>48000</v>
      </c>
    </row>
    <row r="62" spans="1:14" x14ac:dyDescent="0.25">
      <c r="A62" s="80" t="s">
        <v>89</v>
      </c>
      <c r="B62" s="9" t="s">
        <v>112</v>
      </c>
      <c r="C62" s="62">
        <f>C26</f>
        <v>20</v>
      </c>
      <c r="D62" s="52" t="s">
        <v>147</v>
      </c>
      <c r="E62" s="32">
        <v>1500</v>
      </c>
      <c r="F62" s="52" t="s">
        <v>70</v>
      </c>
      <c r="G62" s="32">
        <f t="shared" si="42"/>
        <v>30000</v>
      </c>
      <c r="H62" s="180">
        <f t="shared" si="43"/>
        <v>30000</v>
      </c>
      <c r="I62" s="181" t="s">
        <v>70</v>
      </c>
      <c r="J62" s="52"/>
      <c r="K62" s="32">
        <f t="shared" si="44"/>
        <v>360000</v>
      </c>
      <c r="L62" s="32">
        <f t="shared" si="45"/>
        <v>360000</v>
      </c>
      <c r="M62" s="32">
        <f t="shared" si="45"/>
        <v>360000</v>
      </c>
    </row>
    <row r="63" spans="1:14" x14ac:dyDescent="0.25">
      <c r="A63" s="80" t="s">
        <v>91</v>
      </c>
      <c r="B63" s="9" t="s">
        <v>113</v>
      </c>
      <c r="C63" s="62">
        <f>C27</f>
        <v>25</v>
      </c>
      <c r="D63" s="52" t="s">
        <v>147</v>
      </c>
      <c r="E63" s="32">
        <v>700</v>
      </c>
      <c r="F63" s="52" t="s">
        <v>70</v>
      </c>
      <c r="G63" s="32">
        <f t="shared" si="42"/>
        <v>17500</v>
      </c>
      <c r="H63" s="180">
        <f t="shared" si="43"/>
        <v>17500</v>
      </c>
      <c r="I63" s="181" t="s">
        <v>70</v>
      </c>
      <c r="J63" s="52"/>
      <c r="K63" s="32">
        <f t="shared" si="44"/>
        <v>210000</v>
      </c>
      <c r="L63" s="32">
        <f t="shared" si="45"/>
        <v>210000</v>
      </c>
      <c r="M63" s="32">
        <f t="shared" si="45"/>
        <v>210000</v>
      </c>
    </row>
    <row r="64" spans="1:14" x14ac:dyDescent="0.25">
      <c r="A64" s="80" t="s">
        <v>92</v>
      </c>
      <c r="B64" s="9" t="s">
        <v>173</v>
      </c>
      <c r="C64" s="62">
        <f>C28*25</f>
        <v>25</v>
      </c>
      <c r="D64" s="80" t="s">
        <v>145</v>
      </c>
      <c r="E64" s="32">
        <v>160</v>
      </c>
      <c r="F64" s="80" t="s">
        <v>70</v>
      </c>
      <c r="G64" s="32">
        <f t="shared" si="42"/>
        <v>4000</v>
      </c>
      <c r="H64" s="180">
        <f t="shared" si="43"/>
        <v>4000</v>
      </c>
      <c r="I64" s="181" t="s">
        <v>70</v>
      </c>
      <c r="J64" s="52"/>
      <c r="K64" s="32">
        <f t="shared" si="44"/>
        <v>48000</v>
      </c>
      <c r="L64" s="32">
        <f t="shared" si="45"/>
        <v>48000</v>
      </c>
      <c r="M64" s="32">
        <f t="shared" si="45"/>
        <v>48000</v>
      </c>
    </row>
    <row r="65" spans="1:16" x14ac:dyDescent="0.25">
      <c r="A65" s="80" t="s">
        <v>109</v>
      </c>
      <c r="B65" s="9" t="s">
        <v>163</v>
      </c>
      <c r="C65" s="62">
        <f>C29*96</f>
        <v>192</v>
      </c>
      <c r="D65" s="80" t="s">
        <v>153</v>
      </c>
      <c r="E65" s="32">
        <v>15</v>
      </c>
      <c r="F65" s="80" t="s">
        <v>70</v>
      </c>
      <c r="G65" s="32">
        <f t="shared" ref="G65:G68" si="50">C65*E65</f>
        <v>2880</v>
      </c>
      <c r="H65" s="180">
        <f t="shared" ref="H65:H68" si="51">G65</f>
        <v>2880</v>
      </c>
      <c r="I65" s="181" t="s">
        <v>70</v>
      </c>
      <c r="J65" s="80"/>
      <c r="K65" s="32">
        <f t="shared" si="44"/>
        <v>34560</v>
      </c>
      <c r="L65" s="32">
        <f t="shared" ref="L65:L68" si="52">K65</f>
        <v>34560</v>
      </c>
      <c r="M65" s="32">
        <f t="shared" ref="M65:M68" si="53">L65</f>
        <v>34560</v>
      </c>
    </row>
    <row r="66" spans="1:16" x14ac:dyDescent="0.25">
      <c r="A66" s="80" t="s">
        <v>110</v>
      </c>
      <c r="B66" s="9" t="s">
        <v>158</v>
      </c>
      <c r="C66" s="62">
        <f>C30*50</f>
        <v>500</v>
      </c>
      <c r="D66" s="80" t="s">
        <v>153</v>
      </c>
      <c r="E66" s="32">
        <v>10</v>
      </c>
      <c r="F66" s="80" t="s">
        <v>70</v>
      </c>
      <c r="G66" s="32">
        <f t="shared" si="50"/>
        <v>5000</v>
      </c>
      <c r="H66" s="180">
        <f t="shared" si="51"/>
        <v>5000</v>
      </c>
      <c r="I66" s="181" t="s">
        <v>70</v>
      </c>
      <c r="J66" s="80"/>
      <c r="K66" s="32">
        <f t="shared" si="44"/>
        <v>60000</v>
      </c>
      <c r="L66" s="32">
        <f t="shared" si="52"/>
        <v>60000</v>
      </c>
      <c r="M66" s="32">
        <f t="shared" si="53"/>
        <v>60000</v>
      </c>
    </row>
    <row r="67" spans="1:16" x14ac:dyDescent="0.25">
      <c r="A67" s="80" t="s">
        <v>111</v>
      </c>
      <c r="B67" s="9" t="s">
        <v>159</v>
      </c>
      <c r="C67" s="62">
        <f>C31</f>
        <v>10</v>
      </c>
      <c r="D67" s="80" t="s">
        <v>145</v>
      </c>
      <c r="E67" s="32">
        <f>75*4</f>
        <v>300</v>
      </c>
      <c r="F67" s="80" t="s">
        <v>70</v>
      </c>
      <c r="G67" s="32">
        <f t="shared" si="50"/>
        <v>3000</v>
      </c>
      <c r="H67" s="180">
        <f t="shared" si="51"/>
        <v>3000</v>
      </c>
      <c r="I67" s="181" t="s">
        <v>70</v>
      </c>
      <c r="J67" s="80"/>
      <c r="K67" s="32">
        <f t="shared" si="44"/>
        <v>36000</v>
      </c>
      <c r="L67" s="32">
        <f t="shared" si="52"/>
        <v>36000</v>
      </c>
      <c r="M67" s="32">
        <f t="shared" si="53"/>
        <v>36000</v>
      </c>
    </row>
    <row r="68" spans="1:16" x14ac:dyDescent="0.25">
      <c r="A68" s="80" t="s">
        <v>122</v>
      </c>
      <c r="B68" s="9" t="s">
        <v>171</v>
      </c>
      <c r="C68" s="62">
        <f>C32*18</f>
        <v>90</v>
      </c>
      <c r="D68" s="80" t="s">
        <v>153</v>
      </c>
      <c r="E68" s="32">
        <v>20</v>
      </c>
      <c r="F68" s="80" t="s">
        <v>70</v>
      </c>
      <c r="G68" s="32">
        <f t="shared" si="50"/>
        <v>1800</v>
      </c>
      <c r="H68" s="180">
        <f t="shared" si="51"/>
        <v>1800</v>
      </c>
      <c r="I68" s="181" t="s">
        <v>70</v>
      </c>
      <c r="J68" s="80"/>
      <c r="K68" s="32">
        <f t="shared" si="44"/>
        <v>21600</v>
      </c>
      <c r="L68" s="32">
        <f t="shared" si="52"/>
        <v>21600</v>
      </c>
      <c r="M68" s="32">
        <f t="shared" si="53"/>
        <v>21600</v>
      </c>
    </row>
    <row r="69" spans="1:16" x14ac:dyDescent="0.25">
      <c r="A69" s="80" t="s">
        <v>123</v>
      </c>
      <c r="B69" s="9" t="s">
        <v>161</v>
      </c>
      <c r="C69" s="62">
        <f>C33*150</f>
        <v>450</v>
      </c>
      <c r="D69" s="80" t="s">
        <v>153</v>
      </c>
      <c r="E69" s="82">
        <v>2.5</v>
      </c>
      <c r="F69" s="80" t="s">
        <v>70</v>
      </c>
      <c r="G69" s="32">
        <f t="shared" ref="G69" si="54">C69*E69</f>
        <v>1125</v>
      </c>
      <c r="H69" s="180">
        <f t="shared" ref="H69" si="55">G69</f>
        <v>1125</v>
      </c>
      <c r="I69" s="181" t="s">
        <v>70</v>
      </c>
      <c r="J69" s="80"/>
      <c r="K69" s="32">
        <f t="shared" si="44"/>
        <v>13500</v>
      </c>
      <c r="L69" s="32">
        <f t="shared" ref="L69" si="56">K69</f>
        <v>13500</v>
      </c>
      <c r="M69" s="32">
        <f t="shared" ref="M69" si="57">L69</f>
        <v>13500</v>
      </c>
    </row>
    <row r="70" spans="1:16" x14ac:dyDescent="0.25">
      <c r="A70" s="80" t="s">
        <v>124</v>
      </c>
      <c r="B70" s="9" t="s">
        <v>93</v>
      </c>
      <c r="C70" s="62">
        <f>C35</f>
        <v>5</v>
      </c>
      <c r="D70" s="80" t="s">
        <v>155</v>
      </c>
      <c r="E70" s="32">
        <f>E35+50</f>
        <v>350</v>
      </c>
      <c r="F70" s="80" t="s">
        <v>70</v>
      </c>
      <c r="G70" s="32">
        <f t="shared" si="42"/>
        <v>1750</v>
      </c>
      <c r="H70" s="180">
        <f t="shared" si="43"/>
        <v>1750</v>
      </c>
      <c r="I70" s="181" t="s">
        <v>70</v>
      </c>
      <c r="J70" s="80"/>
      <c r="K70" s="32">
        <f t="shared" si="44"/>
        <v>21000</v>
      </c>
      <c r="L70" s="32">
        <f t="shared" ref="L70" si="58">K70</f>
        <v>21000</v>
      </c>
      <c r="M70" s="32">
        <f t="shared" ref="M70" si="59">L70</f>
        <v>21000</v>
      </c>
      <c r="N70" s="53" t="s">
        <v>133</v>
      </c>
    </row>
    <row r="71" spans="1:16" x14ac:dyDescent="0.25">
      <c r="A71" s="80" t="s">
        <v>138</v>
      </c>
      <c r="B71" s="9" t="s">
        <v>94</v>
      </c>
      <c r="C71" s="62">
        <f>C36</f>
        <v>5</v>
      </c>
      <c r="D71" s="80" t="s">
        <v>155</v>
      </c>
      <c r="E71" s="32">
        <v>100</v>
      </c>
      <c r="F71" s="80" t="s">
        <v>70</v>
      </c>
      <c r="G71" s="32">
        <f t="shared" si="42"/>
        <v>500</v>
      </c>
      <c r="H71" s="180">
        <f t="shared" si="43"/>
        <v>500</v>
      </c>
      <c r="I71" s="181" t="s">
        <v>70</v>
      </c>
      <c r="J71" s="80"/>
      <c r="K71" s="32">
        <f t="shared" si="44"/>
        <v>6000</v>
      </c>
      <c r="L71" s="32">
        <f>K71</f>
        <v>6000</v>
      </c>
      <c r="M71" s="32">
        <f>L71</f>
        <v>6000</v>
      </c>
      <c r="N71" s="53" t="s">
        <v>134</v>
      </c>
    </row>
    <row r="72" spans="1:16" x14ac:dyDescent="0.25">
      <c r="A72" s="80" t="s">
        <v>199</v>
      </c>
      <c r="B72" s="9" t="s">
        <v>135</v>
      </c>
      <c r="C72" s="80">
        <f>C37*20</f>
        <v>240</v>
      </c>
      <c r="D72" s="81" t="s">
        <v>145</v>
      </c>
      <c r="E72" s="32">
        <v>25</v>
      </c>
      <c r="F72" s="80" t="s">
        <v>70</v>
      </c>
      <c r="G72" s="32">
        <f t="shared" ref="G72" si="60">C72*E72</f>
        <v>6000</v>
      </c>
      <c r="H72" s="180">
        <f t="shared" ref="H72" si="61">G72</f>
        <v>6000</v>
      </c>
      <c r="I72" s="181" t="s">
        <v>70</v>
      </c>
      <c r="J72" s="80"/>
      <c r="K72" s="32">
        <f t="shared" si="44"/>
        <v>72000</v>
      </c>
      <c r="L72" s="32">
        <f>K72</f>
        <v>72000</v>
      </c>
      <c r="M72" s="32">
        <f>L72</f>
        <v>72000</v>
      </c>
      <c r="N72" s="53" t="s">
        <v>208</v>
      </c>
    </row>
    <row r="73" spans="1:16" x14ac:dyDescent="0.25">
      <c r="A73" s="80" t="s">
        <v>200</v>
      </c>
      <c r="B73" s="9" t="s">
        <v>256</v>
      </c>
      <c r="C73" s="48">
        <f>C38</f>
        <v>12</v>
      </c>
      <c r="D73" s="81" t="s">
        <v>153</v>
      </c>
      <c r="E73" s="32">
        <v>150</v>
      </c>
      <c r="F73" s="48" t="s">
        <v>70</v>
      </c>
      <c r="G73" s="32">
        <f t="shared" ref="G73:G76" si="62">C73*E73</f>
        <v>1800</v>
      </c>
      <c r="H73" s="180">
        <f t="shared" ref="H73:H76" si="63">G73</f>
        <v>1800</v>
      </c>
      <c r="I73" s="181" t="s">
        <v>70</v>
      </c>
      <c r="J73" s="48"/>
      <c r="K73" s="32">
        <f t="shared" si="44"/>
        <v>21600</v>
      </c>
      <c r="L73" s="32">
        <f t="shared" ref="L73:L76" si="64">K73</f>
        <v>21600</v>
      </c>
      <c r="M73" s="32">
        <f t="shared" ref="M73:M76" si="65">L73</f>
        <v>21600</v>
      </c>
    </row>
    <row r="74" spans="1:16" x14ac:dyDescent="0.25">
      <c r="A74" s="80" t="s">
        <v>201</v>
      </c>
      <c r="B74" s="9" t="s">
        <v>257</v>
      </c>
      <c r="C74" s="80">
        <v>10</v>
      </c>
      <c r="D74" s="81" t="s">
        <v>153</v>
      </c>
      <c r="E74" s="32">
        <v>250</v>
      </c>
      <c r="F74" s="80" t="s">
        <v>70</v>
      </c>
      <c r="G74" s="32">
        <f t="shared" si="62"/>
        <v>2500</v>
      </c>
      <c r="H74" s="180">
        <f t="shared" si="63"/>
        <v>2500</v>
      </c>
      <c r="I74" s="181" t="s">
        <v>70</v>
      </c>
      <c r="J74" s="80"/>
      <c r="K74" s="32">
        <f t="shared" si="44"/>
        <v>30000</v>
      </c>
      <c r="L74" s="32">
        <f t="shared" si="64"/>
        <v>30000</v>
      </c>
      <c r="M74" s="32">
        <f t="shared" si="65"/>
        <v>30000</v>
      </c>
      <c r="N74" s="53" t="s">
        <v>144</v>
      </c>
    </row>
    <row r="75" spans="1:16" x14ac:dyDescent="0.25">
      <c r="A75" s="80" t="s">
        <v>202</v>
      </c>
      <c r="B75" s="9" t="s">
        <v>258</v>
      </c>
      <c r="C75" s="80">
        <f>C40</f>
        <v>12</v>
      </c>
      <c r="D75" s="81" t="s">
        <v>153</v>
      </c>
      <c r="E75" s="32">
        <v>250</v>
      </c>
      <c r="F75" s="48" t="s">
        <v>70</v>
      </c>
      <c r="G75" s="32">
        <f t="shared" si="62"/>
        <v>3000</v>
      </c>
      <c r="H75" s="180">
        <f t="shared" si="63"/>
        <v>3000</v>
      </c>
      <c r="I75" s="181" t="s">
        <v>70</v>
      </c>
      <c r="J75" s="48"/>
      <c r="K75" s="32">
        <f t="shared" si="44"/>
        <v>36000</v>
      </c>
      <c r="L75" s="32">
        <f t="shared" si="64"/>
        <v>36000</v>
      </c>
      <c r="M75" s="32">
        <f t="shared" si="65"/>
        <v>36000</v>
      </c>
    </row>
    <row r="76" spans="1:16" x14ac:dyDescent="0.25">
      <c r="A76" s="80" t="s">
        <v>203</v>
      </c>
      <c r="B76" s="9" t="s">
        <v>259</v>
      </c>
      <c r="C76" s="80">
        <f>C41</f>
        <v>12</v>
      </c>
      <c r="D76" s="81" t="s">
        <v>153</v>
      </c>
      <c r="E76" s="32">
        <v>150</v>
      </c>
      <c r="F76" s="48" t="s">
        <v>70</v>
      </c>
      <c r="G76" s="32">
        <f t="shared" si="62"/>
        <v>1800</v>
      </c>
      <c r="H76" s="180">
        <f t="shared" si="63"/>
        <v>1800</v>
      </c>
      <c r="I76" s="181" t="s">
        <v>70</v>
      </c>
      <c r="J76" s="48"/>
      <c r="K76" s="32">
        <f t="shared" si="44"/>
        <v>21600</v>
      </c>
      <c r="L76" s="32">
        <f t="shared" si="64"/>
        <v>21600</v>
      </c>
      <c r="M76" s="32">
        <f t="shared" si="65"/>
        <v>21600</v>
      </c>
    </row>
    <row r="77" spans="1:16" x14ac:dyDescent="0.25">
      <c r="A77" s="80" t="s">
        <v>204</v>
      </c>
      <c r="B77" s="9" t="s">
        <v>260</v>
      </c>
      <c r="C77" s="80">
        <f>C42</f>
        <v>5</v>
      </c>
      <c r="D77" s="81" t="s">
        <v>153</v>
      </c>
      <c r="E77" s="32">
        <v>270</v>
      </c>
      <c r="F77" s="80" t="s">
        <v>70</v>
      </c>
      <c r="G77" s="32">
        <f t="shared" ref="G77" si="66">C77*E77</f>
        <v>1350</v>
      </c>
      <c r="H77" s="180">
        <f t="shared" ref="H77" si="67">G77</f>
        <v>1350</v>
      </c>
      <c r="I77" s="181" t="s">
        <v>70</v>
      </c>
      <c r="J77" s="80"/>
      <c r="K77" s="32">
        <f t="shared" si="44"/>
        <v>16200</v>
      </c>
      <c r="L77" s="32">
        <f t="shared" ref="L77" si="68">K77</f>
        <v>16200</v>
      </c>
      <c r="M77" s="32">
        <f t="shared" ref="M77" si="69">L77</f>
        <v>16200</v>
      </c>
    </row>
    <row r="78" spans="1:16" x14ac:dyDescent="0.25">
      <c r="A78" s="135"/>
      <c r="C78" s="135"/>
      <c r="D78" s="81"/>
      <c r="E78" s="32"/>
      <c r="F78" s="135"/>
      <c r="G78" s="32"/>
      <c r="H78" s="180"/>
      <c r="I78" s="181"/>
      <c r="J78" s="81"/>
      <c r="K78" s="32"/>
      <c r="L78" s="32"/>
      <c r="M78" s="32"/>
    </row>
    <row r="79" spans="1:16" x14ac:dyDescent="0.25">
      <c r="A79" s="21"/>
      <c r="B79" s="161" t="s">
        <v>264</v>
      </c>
      <c r="C79" s="19"/>
      <c r="D79" s="19"/>
      <c r="E79" s="24"/>
      <c r="F79" s="24"/>
      <c r="G79" s="24"/>
      <c r="H79" s="178"/>
      <c r="I79" s="179"/>
      <c r="J79" s="135"/>
      <c r="K79" s="30"/>
      <c r="L79" s="30"/>
      <c r="M79" s="30"/>
      <c r="N79" s="56"/>
      <c r="O79" s="2"/>
    </row>
    <row r="80" spans="1:16" s="166" customFormat="1" x14ac:dyDescent="0.25">
      <c r="A80" s="199" t="s">
        <v>265</v>
      </c>
      <c r="B80" s="209" t="s">
        <v>266</v>
      </c>
      <c r="C80" s="199">
        <v>1</v>
      </c>
      <c r="D80" s="199" t="s">
        <v>149</v>
      </c>
      <c r="E80" s="202">
        <f>((SUM(G54:G56)-SUM(G16:G20)))*52/12*3</f>
        <v>26260</v>
      </c>
      <c r="F80" s="199" t="s">
        <v>70</v>
      </c>
      <c r="G80" s="202">
        <f t="shared" ref="G80:G85" si="70">C80*E80</f>
        <v>26260</v>
      </c>
      <c r="H80" s="203"/>
      <c r="I80" s="204" t="s">
        <v>70</v>
      </c>
      <c r="J80" s="210"/>
      <c r="K80" s="202"/>
      <c r="L80" s="202">
        <f>G80*$M$6</f>
        <v>315120</v>
      </c>
      <c r="M80" s="202">
        <f t="shared" ref="M80:M85" si="71">L80</f>
        <v>315120</v>
      </c>
      <c r="N80" s="205" t="s">
        <v>267</v>
      </c>
      <c r="P80" s="206"/>
    </row>
    <row r="81" spans="1:17" s="166" customFormat="1" x14ac:dyDescent="0.25">
      <c r="A81" s="199" t="s">
        <v>268</v>
      </c>
      <c r="B81" s="209" t="s">
        <v>269</v>
      </c>
      <c r="C81" s="199">
        <v>1</v>
      </c>
      <c r="D81" s="199" t="s">
        <v>149</v>
      </c>
      <c r="E81" s="202">
        <f>(SUM(G58:G69)+G72-(SUM(G23:G34)+G37))*0.25</f>
        <v>3383.75</v>
      </c>
      <c r="F81" s="199" t="s">
        <v>70</v>
      </c>
      <c r="G81" s="202">
        <f t="shared" si="70"/>
        <v>3383.75</v>
      </c>
      <c r="H81" s="203"/>
      <c r="I81" s="204" t="s">
        <v>70</v>
      </c>
      <c r="J81" s="210"/>
      <c r="K81" s="202"/>
      <c r="L81" s="202">
        <f>G81*$M$6</f>
        <v>40605</v>
      </c>
      <c r="M81" s="202">
        <f t="shared" si="71"/>
        <v>40605</v>
      </c>
      <c r="N81" s="211" t="s">
        <v>270</v>
      </c>
      <c r="Q81" s="206"/>
    </row>
    <row r="82" spans="1:17" s="166" customFormat="1" x14ac:dyDescent="0.25">
      <c r="A82" s="199" t="s">
        <v>268</v>
      </c>
      <c r="B82" s="209" t="s">
        <v>277</v>
      </c>
      <c r="C82" s="199">
        <v>1</v>
      </c>
      <c r="D82" s="199" t="s">
        <v>149</v>
      </c>
      <c r="E82" s="202">
        <f>(SUM(G73:G77)-SUM(G38:G44))*0.25</f>
        <v>575</v>
      </c>
      <c r="F82" s="199" t="s">
        <v>70</v>
      </c>
      <c r="G82" s="202">
        <f t="shared" si="70"/>
        <v>575</v>
      </c>
      <c r="H82" s="203"/>
      <c r="I82" s="204" t="s">
        <v>70</v>
      </c>
      <c r="J82" s="210"/>
      <c r="K82" s="202"/>
      <c r="L82" s="202">
        <f>G82*$M$6</f>
        <v>6900</v>
      </c>
      <c r="M82" s="202">
        <f t="shared" ref="M82" si="72">L82</f>
        <v>6900</v>
      </c>
      <c r="N82" s="211" t="s">
        <v>270</v>
      </c>
      <c r="Q82" s="206"/>
    </row>
    <row r="83" spans="1:17" s="212" customFormat="1" x14ac:dyDescent="0.25">
      <c r="A83" s="199" t="s">
        <v>271</v>
      </c>
      <c r="B83" s="209" t="s">
        <v>272</v>
      </c>
      <c r="C83" s="199">
        <v>1</v>
      </c>
      <c r="D83" s="199" t="s">
        <v>149</v>
      </c>
      <c r="E83" s="202">
        <v>10000</v>
      </c>
      <c r="F83" s="199" t="s">
        <v>70</v>
      </c>
      <c r="G83" s="202">
        <f t="shared" si="70"/>
        <v>10000</v>
      </c>
      <c r="H83" s="203"/>
      <c r="I83" s="204" t="s">
        <v>70</v>
      </c>
      <c r="J83" s="210"/>
      <c r="K83" s="202"/>
      <c r="L83" s="202">
        <f>G83*$M$6</f>
        <v>120000</v>
      </c>
      <c r="M83" s="202">
        <f t="shared" si="71"/>
        <v>120000</v>
      </c>
      <c r="N83" s="211"/>
      <c r="P83" s="206"/>
      <c r="Q83" s="213"/>
    </row>
    <row r="84" spans="1:17" s="166" customFormat="1" x14ac:dyDescent="0.25">
      <c r="A84" s="199" t="s">
        <v>273</v>
      </c>
      <c r="B84" s="209" t="s">
        <v>274</v>
      </c>
      <c r="C84" s="199">
        <v>1</v>
      </c>
      <c r="D84" s="199" t="s">
        <v>149</v>
      </c>
      <c r="E84" s="202">
        <v>5000</v>
      </c>
      <c r="F84" s="199" t="s">
        <v>70</v>
      </c>
      <c r="G84" s="202">
        <f t="shared" si="70"/>
        <v>5000</v>
      </c>
      <c r="H84" s="203"/>
      <c r="I84" s="204" t="s">
        <v>70</v>
      </c>
      <c r="J84" s="210"/>
      <c r="K84" s="202"/>
      <c r="L84" s="202">
        <f>G84*$M$6</f>
        <v>60000</v>
      </c>
      <c r="M84" s="202">
        <f t="shared" si="71"/>
        <v>60000</v>
      </c>
      <c r="N84" s="205"/>
      <c r="Q84" s="206"/>
    </row>
    <row r="85" spans="1:17" s="166" customFormat="1" x14ac:dyDescent="0.25">
      <c r="A85" s="199" t="s">
        <v>273</v>
      </c>
      <c r="B85" s="209" t="s">
        <v>275</v>
      </c>
      <c r="C85" s="199">
        <v>1</v>
      </c>
      <c r="D85" s="199" t="s">
        <v>149</v>
      </c>
      <c r="E85" s="202">
        <v>2500</v>
      </c>
      <c r="F85" s="199" t="s">
        <v>70</v>
      </c>
      <c r="G85" s="202">
        <f t="shared" si="70"/>
        <v>2500</v>
      </c>
      <c r="H85" s="203"/>
      <c r="I85" s="204" t="s">
        <v>70</v>
      </c>
      <c r="J85" s="210"/>
      <c r="K85" s="202"/>
      <c r="L85" s="202">
        <f>G85*$M$6</f>
        <v>30000</v>
      </c>
      <c r="M85" s="202">
        <f t="shared" si="71"/>
        <v>30000</v>
      </c>
      <c r="N85" s="205"/>
      <c r="Q85" s="206"/>
    </row>
    <row r="86" spans="1:17" x14ac:dyDescent="0.25">
      <c r="A86" s="48"/>
      <c r="C86" s="48"/>
      <c r="D86" s="48"/>
      <c r="E86" s="48"/>
      <c r="F86" s="48"/>
      <c r="G86" s="32"/>
      <c r="H86" s="180"/>
      <c r="I86" s="181"/>
      <c r="J86" s="48"/>
      <c r="K86" s="32"/>
      <c r="L86" s="32"/>
      <c r="M86" s="32"/>
    </row>
    <row r="87" spans="1:17" s="7" customFormat="1" x14ac:dyDescent="0.25">
      <c r="A87" s="25" t="s">
        <v>12</v>
      </c>
      <c r="B87" s="136" t="s">
        <v>0</v>
      </c>
      <c r="C87" s="136"/>
      <c r="D87" s="136"/>
      <c r="E87" s="136"/>
      <c r="F87" s="136"/>
      <c r="G87" s="31"/>
      <c r="H87" s="31">
        <f>SUM(H54:H86)</f>
        <v>130885</v>
      </c>
      <c r="I87" s="189" t="s">
        <v>70</v>
      </c>
      <c r="J87" s="8"/>
      <c r="K87" s="31">
        <f>SUM(K54:K86)</f>
        <v>1570620</v>
      </c>
      <c r="L87" s="31">
        <f>SUM(L54:L86)</f>
        <v>2143245</v>
      </c>
      <c r="M87" s="31">
        <f>SUM(M54:M86)</f>
        <v>2143245</v>
      </c>
      <c r="N87" s="57"/>
    </row>
    <row r="88" spans="1:17" x14ac:dyDescent="0.25">
      <c r="H88" s="194"/>
      <c r="I88" s="181"/>
      <c r="J88" s="10"/>
    </row>
    <row r="89" spans="1:17" ht="18.75" x14ac:dyDescent="0.25">
      <c r="A89" s="137" t="s">
        <v>50</v>
      </c>
      <c r="B89" s="137"/>
      <c r="C89" s="137"/>
      <c r="D89" s="137"/>
      <c r="E89" s="137"/>
      <c r="F89" s="137"/>
      <c r="G89" s="137"/>
      <c r="H89" s="192" t="s">
        <v>117</v>
      </c>
      <c r="I89" s="193"/>
      <c r="J89" s="10"/>
      <c r="K89" s="34" t="s">
        <v>57</v>
      </c>
      <c r="L89" s="34" t="s">
        <v>56</v>
      </c>
      <c r="M89" s="34" t="s">
        <v>58</v>
      </c>
      <c r="N89" s="54"/>
    </row>
    <row r="90" spans="1:17" x14ac:dyDescent="0.25">
      <c r="A90" s="8" t="s">
        <v>7</v>
      </c>
      <c r="B90" s="150" t="s">
        <v>28</v>
      </c>
      <c r="C90" s="150"/>
      <c r="D90" s="150"/>
      <c r="E90" s="150"/>
      <c r="F90" s="150"/>
      <c r="G90" s="32"/>
      <c r="H90" s="180">
        <f>H49</f>
        <v>108121.66666666666</v>
      </c>
      <c r="I90" s="181" t="s">
        <v>70</v>
      </c>
      <c r="J90" s="10"/>
      <c r="K90" s="32">
        <f>K49</f>
        <v>1297460</v>
      </c>
      <c r="L90" s="32">
        <f>L49</f>
        <v>1300460</v>
      </c>
      <c r="M90" s="32">
        <f>M49</f>
        <v>1300460</v>
      </c>
    </row>
    <row r="91" spans="1:17" x14ac:dyDescent="0.25">
      <c r="A91" s="8" t="s">
        <v>12</v>
      </c>
      <c r="B91" s="150" t="s">
        <v>51</v>
      </c>
      <c r="C91" s="150"/>
      <c r="D91" s="150"/>
      <c r="E91" s="150"/>
      <c r="F91" s="150"/>
      <c r="G91" s="32"/>
      <c r="H91" s="180">
        <f>H87</f>
        <v>130885</v>
      </c>
      <c r="I91" s="181" t="s">
        <v>70</v>
      </c>
      <c r="J91" s="10"/>
      <c r="K91" s="32">
        <f>K87</f>
        <v>1570620</v>
      </c>
      <c r="L91" s="32">
        <f>L87</f>
        <v>2143245</v>
      </c>
      <c r="M91" s="32">
        <f>M87</f>
        <v>2143245</v>
      </c>
    </row>
    <row r="92" spans="1:17" s="7" customFormat="1" x14ac:dyDescent="0.25">
      <c r="A92" s="20"/>
      <c r="B92" s="149" t="s">
        <v>67</v>
      </c>
      <c r="C92" s="149"/>
      <c r="D92" s="149"/>
      <c r="E92" s="149"/>
      <c r="F92" s="149"/>
      <c r="G92" s="31"/>
      <c r="H92" s="188">
        <f>H91-H90</f>
        <v>22763.333333333343</v>
      </c>
      <c r="I92" s="189" t="s">
        <v>70</v>
      </c>
      <c r="J92" s="8"/>
      <c r="K92" s="31">
        <f>K91-K90</f>
        <v>273160</v>
      </c>
      <c r="L92" s="31">
        <f>L91-L90</f>
        <v>842785</v>
      </c>
      <c r="M92" s="31">
        <f>M91-M90</f>
        <v>842785</v>
      </c>
      <c r="N92" s="57"/>
    </row>
    <row r="93" spans="1:17" x14ac:dyDescent="0.25">
      <c r="A93" s="43" t="s">
        <v>9</v>
      </c>
      <c r="B93" s="151" t="s">
        <v>33</v>
      </c>
      <c r="C93" s="151"/>
      <c r="D93" s="151"/>
      <c r="E93" s="151"/>
      <c r="F93" s="151"/>
      <c r="G93" s="44"/>
      <c r="H93" s="195"/>
      <c r="I93" s="196"/>
      <c r="J93" s="10"/>
      <c r="K93" s="32"/>
      <c r="L93" s="44">
        <f>'Info general'!H23</f>
        <v>1355</v>
      </c>
      <c r="M93" s="44">
        <f>'Info general'!H23</f>
        <v>1355</v>
      </c>
      <c r="N93" s="58"/>
    </row>
    <row r="94" spans="1:17" s="7" customFormat="1" ht="15.75" thickBot="1" x14ac:dyDescent="0.3">
      <c r="A94" s="20"/>
      <c r="B94" s="149" t="s">
        <v>68</v>
      </c>
      <c r="C94" s="149"/>
      <c r="D94" s="149"/>
      <c r="E94" s="149"/>
      <c r="F94" s="149"/>
      <c r="G94" s="31"/>
      <c r="H94" s="197">
        <f>H92-H93</f>
        <v>22763.333333333343</v>
      </c>
      <c r="I94" s="198" t="s">
        <v>70</v>
      </c>
      <c r="J94" s="8"/>
      <c r="K94" s="31">
        <f>K92-K93</f>
        <v>273160</v>
      </c>
      <c r="L94" s="31">
        <f t="shared" ref="L94:M94" si="73">L92-L93</f>
        <v>841430</v>
      </c>
      <c r="M94" s="31">
        <f t="shared" si="73"/>
        <v>841430</v>
      </c>
      <c r="N94" s="57"/>
    </row>
    <row r="95" spans="1:17" x14ac:dyDescent="0.25">
      <c r="A95" s="3"/>
      <c r="B95" s="3"/>
      <c r="C95" s="3"/>
      <c r="D95" s="3"/>
      <c r="E95" s="3"/>
      <c r="J95" s="10"/>
      <c r="O95" s="46"/>
      <c r="Q95" s="47"/>
    </row>
    <row r="96" spans="1:17" ht="15.75" thickBot="1" x14ac:dyDescent="0.3">
      <c r="G96" s="45"/>
      <c r="J96" s="10"/>
    </row>
    <row r="97" spans="1:16" s="221" customFormat="1" ht="15.75" x14ac:dyDescent="0.25">
      <c r="A97" s="214" t="s">
        <v>278</v>
      </c>
      <c r="B97" s="215"/>
      <c r="C97" s="215"/>
      <c r="D97" s="215"/>
      <c r="E97" s="215"/>
      <c r="F97" s="215"/>
      <c r="G97" s="215"/>
      <c r="H97" s="214" t="s">
        <v>117</v>
      </c>
      <c r="I97" s="216"/>
      <c r="J97" s="217"/>
      <c r="K97" s="218" t="s">
        <v>57</v>
      </c>
      <c r="L97" s="219" t="s">
        <v>56</v>
      </c>
      <c r="M97" s="220" t="s">
        <v>58</v>
      </c>
      <c r="N97" s="53"/>
    </row>
    <row r="98" spans="1:16" x14ac:dyDescent="0.25">
      <c r="A98" s="222" t="s">
        <v>9</v>
      </c>
      <c r="B98" s="223" t="s">
        <v>279</v>
      </c>
      <c r="C98" s="223"/>
      <c r="D98" s="223"/>
      <c r="E98" s="223"/>
      <c r="F98" s="223"/>
      <c r="G98" s="224"/>
      <c r="H98" s="225"/>
      <c r="I98" s="226"/>
      <c r="J98" s="227"/>
      <c r="K98" s="225">
        <f>+'Info general'!F23</f>
        <v>16100</v>
      </c>
      <c r="L98" s="224">
        <f>+'Info general'!F33</f>
        <v>74500</v>
      </c>
      <c r="M98" s="226">
        <v>0</v>
      </c>
    </row>
    <row r="99" spans="1:16" x14ac:dyDescent="0.25">
      <c r="A99" s="222" t="s">
        <v>9</v>
      </c>
      <c r="B99" s="223" t="s">
        <v>33</v>
      </c>
      <c r="C99" s="223"/>
      <c r="D99" s="223"/>
      <c r="E99" s="223"/>
      <c r="F99" s="223"/>
      <c r="G99" s="224"/>
      <c r="H99" s="225"/>
      <c r="I99" s="226"/>
      <c r="J99" s="227"/>
      <c r="K99" s="225"/>
      <c r="L99" s="224">
        <f>+'Info general'!H23</f>
        <v>1355</v>
      </c>
      <c r="M99" s="226">
        <f>+'Info general'!H23+'Info general'!H33</f>
        <v>14205</v>
      </c>
      <c r="P99" s="45"/>
    </row>
    <row r="100" spans="1:16" x14ac:dyDescent="0.25">
      <c r="A100" s="222" t="s">
        <v>7</v>
      </c>
      <c r="B100" s="223" t="s">
        <v>280</v>
      </c>
      <c r="C100" s="223"/>
      <c r="D100" s="223"/>
      <c r="E100" s="223"/>
      <c r="F100" s="223"/>
      <c r="G100" s="224"/>
      <c r="H100" s="225">
        <f>+SUM(H11:H13)+H47</f>
        <v>2125</v>
      </c>
      <c r="I100" s="226" t="s">
        <v>70</v>
      </c>
      <c r="J100" s="227"/>
      <c r="K100" s="225">
        <f t="shared" ref="K100:M100" si="74">+SUM(K11:K13)+K47</f>
        <v>25500</v>
      </c>
      <c r="L100" s="224">
        <f t="shared" si="74"/>
        <v>28500</v>
      </c>
      <c r="M100" s="226">
        <f t="shared" si="74"/>
        <v>28500</v>
      </c>
      <c r="P100" s="45"/>
    </row>
    <row r="101" spans="1:16" x14ac:dyDescent="0.25">
      <c r="A101" s="222" t="s">
        <v>7</v>
      </c>
      <c r="B101" s="223" t="s">
        <v>281</v>
      </c>
      <c r="C101" s="223"/>
      <c r="D101" s="223"/>
      <c r="E101" s="223"/>
      <c r="F101" s="223"/>
      <c r="G101" s="224"/>
      <c r="H101" s="225">
        <f>H49-H100</f>
        <v>105996.66666666666</v>
      </c>
      <c r="I101" s="226" t="s">
        <v>70</v>
      </c>
      <c r="J101" s="227"/>
      <c r="K101" s="225">
        <f t="shared" ref="K101:M101" si="75">K49-K100</f>
        <v>1271960</v>
      </c>
      <c r="L101" s="224">
        <f t="shared" si="75"/>
        <v>1271960</v>
      </c>
      <c r="M101" s="226">
        <f t="shared" si="75"/>
        <v>1271960</v>
      </c>
      <c r="P101" s="45"/>
    </row>
    <row r="102" spans="1:16" x14ac:dyDescent="0.25">
      <c r="A102" s="222" t="s">
        <v>12</v>
      </c>
      <c r="B102" s="223" t="s">
        <v>282</v>
      </c>
      <c r="C102" s="223"/>
      <c r="D102" s="223"/>
      <c r="E102" s="223"/>
      <c r="F102" s="223"/>
      <c r="G102" s="224"/>
      <c r="H102" s="225">
        <f>+H87</f>
        <v>130885</v>
      </c>
      <c r="I102" s="226" t="s">
        <v>70</v>
      </c>
      <c r="J102" s="227"/>
      <c r="K102" s="225">
        <f t="shared" ref="K102:M102" si="76">+K87</f>
        <v>1570620</v>
      </c>
      <c r="L102" s="224">
        <f t="shared" si="76"/>
        <v>2143245</v>
      </c>
      <c r="M102" s="226">
        <f t="shared" si="76"/>
        <v>2143245</v>
      </c>
      <c r="P102" s="45"/>
    </row>
    <row r="103" spans="1:16" s="234" customFormat="1" ht="16.5" thickBot="1" x14ac:dyDescent="0.3">
      <c r="A103" s="228"/>
      <c r="B103" s="229" t="s">
        <v>68</v>
      </c>
      <c r="C103" s="229"/>
      <c r="D103" s="229"/>
      <c r="E103" s="229"/>
      <c r="F103" s="229"/>
      <c r="G103" s="230"/>
      <c r="H103" s="231">
        <f>H102-H101-H100</f>
        <v>22763.333333333343</v>
      </c>
      <c r="I103" s="232" t="s">
        <v>70</v>
      </c>
      <c r="J103" s="233"/>
      <c r="K103" s="231">
        <f t="shared" ref="K103" si="77">K102-K101-K100</f>
        <v>273160</v>
      </c>
      <c r="L103" s="230">
        <f>L102-L101-L100-L99-L98</f>
        <v>766930</v>
      </c>
      <c r="M103" s="232">
        <f>M102-M101-M100-M99-M98</f>
        <v>828580</v>
      </c>
      <c r="N103" s="53"/>
      <c r="P103" s="235"/>
    </row>
  </sheetData>
  <mergeCells count="24">
    <mergeCell ref="B103:F103"/>
    <mergeCell ref="B98:F98"/>
    <mergeCell ref="B99:F99"/>
    <mergeCell ref="B100:F100"/>
    <mergeCell ref="B101:F101"/>
    <mergeCell ref="B102:F102"/>
    <mergeCell ref="A4:N4"/>
    <mergeCell ref="H8:I8"/>
    <mergeCell ref="H51:I51"/>
    <mergeCell ref="H89:I89"/>
    <mergeCell ref="A97:G97"/>
    <mergeCell ref="H97:I97"/>
    <mergeCell ref="B87:F87"/>
    <mergeCell ref="A6:E6"/>
    <mergeCell ref="F6:G6"/>
    <mergeCell ref="A8:G8"/>
    <mergeCell ref="B49:F49"/>
    <mergeCell ref="A51:G51"/>
    <mergeCell ref="B94:F94"/>
    <mergeCell ref="A89:G89"/>
    <mergeCell ref="B90:F90"/>
    <mergeCell ref="B91:F91"/>
    <mergeCell ref="B92:F92"/>
    <mergeCell ref="B93:F9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'Info general'!$J$7:$J$15</xm:f>
          </x14:formula1>
          <xm:sqref>F6:G6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05788-44E0-42E5-80BA-BBCC54130655}">
  <sheetPr>
    <pageSetUpPr fitToPage="1"/>
  </sheetPr>
  <dimension ref="A1:Q117"/>
  <sheetViews>
    <sheetView zoomScale="85" zoomScaleNormal="85" zoomScalePageLayoutView="85" workbookViewId="0">
      <pane ySplit="5" topLeftCell="A6" activePane="bottomLeft" state="frozen"/>
      <selection pane="bottomLeft" activeCell="H89" sqref="H89"/>
    </sheetView>
  </sheetViews>
  <sheetFormatPr baseColWidth="10" defaultColWidth="10.85546875" defaultRowHeight="15" x14ac:dyDescent="0.25"/>
  <cols>
    <col min="1" max="1" width="10.140625" style="9" customWidth="1"/>
    <col min="2" max="2" width="39.28515625" style="9" customWidth="1"/>
    <col min="3" max="9" width="14.7109375" style="9" customWidth="1"/>
    <col min="10" max="10" width="3.42578125" style="9" customWidth="1"/>
    <col min="11" max="13" width="14.7109375" style="36" customWidth="1"/>
    <col min="14" max="14" width="45.140625" style="53" customWidth="1"/>
    <col min="15" max="15" width="19.7109375" style="9" customWidth="1"/>
    <col min="16" max="16384" width="10.85546875" style="9"/>
  </cols>
  <sheetData>
    <row r="1" spans="1:15" ht="28.5" x14ac:dyDescent="0.25">
      <c r="A1" s="26" t="s">
        <v>44</v>
      </c>
      <c r="B1" s="4"/>
      <c r="C1" s="5"/>
      <c r="D1" s="5"/>
      <c r="F1" s="80"/>
      <c r="G1" s="80"/>
      <c r="H1" s="80"/>
      <c r="I1" s="80"/>
      <c r="J1" s="80"/>
      <c r="K1" s="32"/>
      <c r="L1" s="32"/>
      <c r="M1" s="32"/>
    </row>
    <row r="2" spans="1:15" x14ac:dyDescent="0.25">
      <c r="A2" s="1"/>
      <c r="B2" s="7"/>
      <c r="C2" s="5"/>
      <c r="D2" s="5"/>
      <c r="F2" s="80"/>
      <c r="G2" s="80"/>
      <c r="H2" s="80"/>
      <c r="I2" s="80"/>
      <c r="J2" s="80"/>
      <c r="K2" s="32"/>
      <c r="L2" s="32"/>
      <c r="M2" s="32"/>
    </row>
    <row r="3" spans="1:15" ht="18.75" x14ac:dyDescent="0.25">
      <c r="A3" s="27" t="s">
        <v>55</v>
      </c>
      <c r="B3" s="4"/>
      <c r="F3" s="80"/>
      <c r="G3" s="80"/>
      <c r="H3" s="80"/>
      <c r="I3" s="80"/>
      <c r="J3" s="80"/>
      <c r="K3" s="32"/>
      <c r="L3" s="32"/>
      <c r="M3" s="32"/>
    </row>
    <row r="4" spans="1:15" ht="5.25" customHeight="1" thickBot="1" x14ac:dyDescent="0.3">
      <c r="A4" s="1"/>
      <c r="B4" s="4"/>
      <c r="F4" s="80"/>
      <c r="G4" s="80"/>
      <c r="H4" s="80"/>
      <c r="I4" s="80"/>
      <c r="J4" s="80"/>
      <c r="K4" s="32"/>
      <c r="L4" s="32"/>
      <c r="M4" s="32"/>
    </row>
    <row r="5" spans="1:15" ht="16.5" thickBot="1" x14ac:dyDescent="0.3">
      <c r="A5" s="138" t="s">
        <v>38</v>
      </c>
      <c r="B5" s="139"/>
      <c r="C5" s="139"/>
      <c r="D5" s="139"/>
      <c r="E5" s="139"/>
      <c r="F5" s="143" t="s">
        <v>65</v>
      </c>
      <c r="G5" s="144"/>
      <c r="H5" s="80"/>
      <c r="I5" s="80"/>
      <c r="K5" s="33" t="s">
        <v>59</v>
      </c>
      <c r="L5" s="33"/>
      <c r="M5" s="33">
        <f>IF(F5="hebdomadaire",52,IF(F5="quincénaire",26,IF(F5="mensuel",12,IF(F5="trimestrielle (3mois)",4,IF(F5="semestre (6mois)",2,IF(F5="annuel",1,IF(F5="bimensuel (2mois)",6,1)))))))</f>
        <v>12</v>
      </c>
    </row>
    <row r="6" spans="1:15" x14ac:dyDescent="0.25">
      <c r="A6" s="1"/>
      <c r="B6" s="4"/>
      <c r="F6" s="80"/>
      <c r="G6" s="80"/>
      <c r="H6" s="80"/>
      <c r="I6" s="80"/>
      <c r="J6" s="80"/>
      <c r="K6" s="32"/>
      <c r="L6" s="32"/>
      <c r="M6" s="32"/>
    </row>
    <row r="7" spans="1:15" ht="18.75" x14ac:dyDescent="0.25">
      <c r="A7" s="137" t="s">
        <v>40</v>
      </c>
      <c r="B7" s="137"/>
      <c r="C7" s="137"/>
      <c r="D7" s="137"/>
      <c r="E7" s="137"/>
      <c r="F7" s="137"/>
      <c r="G7" s="137"/>
      <c r="H7" s="78" t="s">
        <v>117</v>
      </c>
      <c r="I7" s="78"/>
      <c r="J7" s="80"/>
      <c r="K7" s="34" t="s">
        <v>57</v>
      </c>
      <c r="L7" s="34" t="s">
        <v>56</v>
      </c>
      <c r="M7" s="34" t="s">
        <v>58</v>
      </c>
      <c r="N7" s="54" t="s">
        <v>114</v>
      </c>
      <c r="O7" s="45"/>
    </row>
    <row r="8" spans="1:15" ht="14.45" customHeight="1" x14ac:dyDescent="0.25">
      <c r="A8" s="6" t="s">
        <v>10</v>
      </c>
      <c r="B8" s="23" t="s">
        <v>34</v>
      </c>
      <c r="C8" s="6" t="s">
        <v>49</v>
      </c>
      <c r="D8" s="6" t="s">
        <v>3</v>
      </c>
      <c r="E8" s="6" t="s">
        <v>39</v>
      </c>
      <c r="F8" s="6" t="s">
        <v>3</v>
      </c>
      <c r="G8" s="6" t="s">
        <v>1</v>
      </c>
      <c r="H8" s="6" t="s">
        <v>121</v>
      </c>
      <c r="I8" s="6"/>
      <c r="J8" s="80"/>
      <c r="K8" s="35" t="s">
        <v>1</v>
      </c>
      <c r="L8" s="35" t="s">
        <v>1</v>
      </c>
      <c r="M8" s="35" t="s">
        <v>1</v>
      </c>
      <c r="N8" s="55"/>
    </row>
    <row r="9" spans="1:15" x14ac:dyDescent="0.25">
      <c r="A9" s="22"/>
      <c r="B9" s="22" t="s">
        <v>5</v>
      </c>
      <c r="C9" s="19"/>
      <c r="D9" s="19"/>
      <c r="E9" s="24"/>
      <c r="F9" s="24"/>
      <c r="G9" s="24"/>
      <c r="H9" s="24"/>
      <c r="I9" s="24"/>
      <c r="J9" s="80"/>
      <c r="K9" s="30"/>
      <c r="L9" s="30"/>
      <c r="M9" s="30"/>
      <c r="N9" s="56"/>
      <c r="O9" s="2"/>
    </row>
    <row r="10" spans="1:15" x14ac:dyDescent="0.25">
      <c r="A10" s="80" t="s">
        <v>18</v>
      </c>
      <c r="B10" s="9" t="s">
        <v>81</v>
      </c>
      <c r="C10" s="80">
        <v>1</v>
      </c>
      <c r="D10" s="80" t="s">
        <v>148</v>
      </c>
      <c r="E10" s="32">
        <v>2000</v>
      </c>
      <c r="F10" s="80" t="s">
        <v>70</v>
      </c>
      <c r="G10" s="32">
        <f>C10*E10</f>
        <v>2000</v>
      </c>
      <c r="H10" s="32">
        <f>G10</f>
        <v>2000</v>
      </c>
      <c r="I10" s="32"/>
      <c r="J10" s="80"/>
      <c r="K10" s="32">
        <f>H10*$M$5</f>
        <v>24000</v>
      </c>
      <c r="L10" s="32">
        <f>K10</f>
        <v>24000</v>
      </c>
      <c r="M10" s="32">
        <f>L10</f>
        <v>24000</v>
      </c>
      <c r="N10" s="53" t="s">
        <v>160</v>
      </c>
      <c r="O10" s="2"/>
    </row>
    <row r="11" spans="1:15" x14ac:dyDescent="0.25">
      <c r="A11" s="80" t="s">
        <v>19</v>
      </c>
      <c r="B11" s="9" t="s">
        <v>189</v>
      </c>
      <c r="C11" s="62">
        <v>10</v>
      </c>
      <c r="D11" s="80" t="s">
        <v>190</v>
      </c>
      <c r="E11" s="32">
        <v>20</v>
      </c>
      <c r="F11" s="80" t="s">
        <v>70</v>
      </c>
      <c r="G11" s="32">
        <f t="shared" ref="G11:G45" si="0">C11*E11</f>
        <v>200</v>
      </c>
      <c r="H11" s="32">
        <f t="shared" ref="H11:H13" si="1">G11</f>
        <v>200</v>
      </c>
      <c r="I11" s="32"/>
      <c r="J11" s="80"/>
      <c r="K11" s="32">
        <f t="shared" ref="K11:K14" si="2">G11*$M$5</f>
        <v>2400</v>
      </c>
      <c r="L11" s="32">
        <f t="shared" ref="L11:M14" si="3">K11</f>
        <v>2400</v>
      </c>
      <c r="M11" s="32">
        <f t="shared" si="3"/>
        <v>2400</v>
      </c>
      <c r="N11" s="53" t="s">
        <v>129</v>
      </c>
      <c r="O11" s="2"/>
    </row>
    <row r="12" spans="1:15" x14ac:dyDescent="0.25">
      <c r="A12" s="80" t="s">
        <v>205</v>
      </c>
      <c r="B12" s="9" t="s">
        <v>128</v>
      </c>
      <c r="C12" s="61">
        <f>1/12</f>
        <v>8.3333333333333329E-2</v>
      </c>
      <c r="D12" s="80" t="s">
        <v>149</v>
      </c>
      <c r="E12" s="32">
        <v>1500</v>
      </c>
      <c r="F12" s="80" t="s">
        <v>70</v>
      </c>
      <c r="G12" s="32">
        <f t="shared" ref="G12" si="4">C12*E12</f>
        <v>125</v>
      </c>
      <c r="H12" s="32">
        <f t="shared" ref="H12" si="5">G12</f>
        <v>125</v>
      </c>
      <c r="I12" s="32"/>
      <c r="J12" s="80"/>
      <c r="K12" s="32">
        <f t="shared" si="2"/>
        <v>1500</v>
      </c>
      <c r="L12" s="32">
        <f t="shared" si="3"/>
        <v>1500</v>
      </c>
      <c r="M12" s="32">
        <f t="shared" si="3"/>
        <v>1500</v>
      </c>
      <c r="O12" s="28"/>
    </row>
    <row r="13" spans="1:15" x14ac:dyDescent="0.25">
      <c r="A13" s="80"/>
      <c r="C13" s="80"/>
      <c r="D13" s="80"/>
      <c r="E13" s="32"/>
      <c r="F13" s="80"/>
      <c r="G13" s="32">
        <f t="shared" si="0"/>
        <v>0</v>
      </c>
      <c r="H13" s="32">
        <f t="shared" si="1"/>
        <v>0</v>
      </c>
      <c r="I13" s="32"/>
      <c r="J13" s="80"/>
      <c r="K13" s="32">
        <f t="shared" si="2"/>
        <v>0</v>
      </c>
      <c r="L13" s="32">
        <f t="shared" si="3"/>
        <v>0</v>
      </c>
      <c r="M13" s="32">
        <f t="shared" si="3"/>
        <v>0</v>
      </c>
      <c r="O13" s="29"/>
    </row>
    <row r="14" spans="1:15" x14ac:dyDescent="0.25">
      <c r="A14" s="21"/>
      <c r="B14" s="22" t="s">
        <v>6</v>
      </c>
      <c r="C14" s="19"/>
      <c r="D14" s="19"/>
      <c r="E14" s="24"/>
      <c r="F14" s="24"/>
      <c r="G14" s="70"/>
      <c r="H14" s="70"/>
      <c r="I14" s="70"/>
      <c r="J14" s="80"/>
      <c r="K14" s="30">
        <f t="shared" si="2"/>
        <v>0</v>
      </c>
      <c r="L14" s="30">
        <f t="shared" si="3"/>
        <v>0</v>
      </c>
      <c r="M14" s="30">
        <f t="shared" si="3"/>
        <v>0</v>
      </c>
      <c r="N14" s="56"/>
    </row>
    <row r="15" spans="1:15" s="28" customFormat="1" x14ac:dyDescent="0.25">
      <c r="A15" s="65"/>
      <c r="B15" s="63" t="s">
        <v>115</v>
      </c>
      <c r="C15" s="64"/>
      <c r="D15" s="64"/>
      <c r="E15" s="64"/>
      <c r="F15" s="64"/>
      <c r="G15" s="64" t="s">
        <v>131</v>
      </c>
      <c r="H15" s="60" t="s">
        <v>132</v>
      </c>
      <c r="I15" s="60"/>
      <c r="J15" s="66"/>
      <c r="K15" s="67"/>
      <c r="L15" s="67"/>
      <c r="M15" s="67"/>
      <c r="N15" s="68"/>
    </row>
    <row r="16" spans="1:15" x14ac:dyDescent="0.25">
      <c r="A16" s="80" t="s">
        <v>20</v>
      </c>
      <c r="B16" s="9" t="s">
        <v>76</v>
      </c>
      <c r="C16" s="80">
        <v>48</v>
      </c>
      <c r="D16" s="80" t="s">
        <v>145</v>
      </c>
      <c r="E16" s="32">
        <v>20</v>
      </c>
      <c r="F16" s="80" t="s">
        <v>70</v>
      </c>
      <c r="G16" s="32">
        <f t="shared" si="0"/>
        <v>960</v>
      </c>
      <c r="H16" s="32">
        <f>G16*52/12</f>
        <v>4160</v>
      </c>
      <c r="I16" s="32"/>
      <c r="J16" s="80"/>
      <c r="K16" s="32">
        <f>H16*$M$5</f>
        <v>49920</v>
      </c>
      <c r="L16" s="32">
        <f>K16</f>
        <v>49920</v>
      </c>
      <c r="M16" s="32">
        <f>L16</f>
        <v>49920</v>
      </c>
      <c r="N16" s="53" t="s">
        <v>143</v>
      </c>
    </row>
    <row r="17" spans="1:15" x14ac:dyDescent="0.25">
      <c r="A17" s="80" t="s">
        <v>21</v>
      </c>
      <c r="B17" s="9" t="s">
        <v>77</v>
      </c>
      <c r="C17" s="80">
        <v>50</v>
      </c>
      <c r="D17" s="80" t="s">
        <v>145</v>
      </c>
      <c r="E17" s="32">
        <v>20</v>
      </c>
      <c r="F17" s="80" t="s">
        <v>70</v>
      </c>
      <c r="G17" s="32">
        <f t="shared" si="0"/>
        <v>1000</v>
      </c>
      <c r="H17" s="32">
        <f t="shared" ref="H17:H20" si="6">G17*52/12</f>
        <v>4333.333333333333</v>
      </c>
      <c r="I17" s="32"/>
      <c r="J17" s="80"/>
      <c r="K17" s="32">
        <f>H17*$M$5</f>
        <v>52000</v>
      </c>
      <c r="L17" s="32">
        <f t="shared" ref="L17:M42" si="7">K17</f>
        <v>52000</v>
      </c>
      <c r="M17" s="32">
        <f t="shared" si="7"/>
        <v>52000</v>
      </c>
      <c r="N17" s="53" t="s">
        <v>142</v>
      </c>
    </row>
    <row r="18" spans="1:15" x14ac:dyDescent="0.25">
      <c r="A18" s="80" t="s">
        <v>22</v>
      </c>
      <c r="B18" s="9" t="s">
        <v>183</v>
      </c>
      <c r="C18" s="80">
        <v>1</v>
      </c>
      <c r="D18" s="80" t="s">
        <v>184</v>
      </c>
      <c r="E18" s="32">
        <v>50</v>
      </c>
      <c r="F18" s="80" t="s">
        <v>70</v>
      </c>
      <c r="G18" s="32">
        <f t="shared" si="0"/>
        <v>50</v>
      </c>
      <c r="H18" s="32">
        <f t="shared" si="6"/>
        <v>216.66666666666666</v>
      </c>
      <c r="I18" s="32"/>
      <c r="J18" s="80"/>
      <c r="K18" s="32">
        <f>H18*$M$5</f>
        <v>2600</v>
      </c>
      <c r="L18" s="32">
        <f t="shared" si="7"/>
        <v>2600</v>
      </c>
      <c r="M18" s="32">
        <f t="shared" si="7"/>
        <v>2600</v>
      </c>
      <c r="N18" s="53" t="s">
        <v>185</v>
      </c>
    </row>
    <row r="19" spans="1:15" x14ac:dyDescent="0.25">
      <c r="A19" s="80" t="s">
        <v>23</v>
      </c>
      <c r="B19" s="9" t="s">
        <v>80</v>
      </c>
      <c r="C19" s="80">
        <v>1</v>
      </c>
      <c r="D19" s="80" t="s">
        <v>154</v>
      </c>
      <c r="E19" s="32">
        <v>1200</v>
      </c>
      <c r="F19" s="80" t="s">
        <v>70</v>
      </c>
      <c r="G19" s="32">
        <f>C19*E19</f>
        <v>1200</v>
      </c>
      <c r="H19" s="32">
        <f t="shared" si="6"/>
        <v>5200</v>
      </c>
      <c r="I19" s="32"/>
      <c r="J19" s="80"/>
      <c r="K19" s="32">
        <f>H19*$M$5</f>
        <v>62400</v>
      </c>
      <c r="L19" s="32">
        <f>K19</f>
        <v>62400</v>
      </c>
      <c r="M19" s="32">
        <f>L19</f>
        <v>62400</v>
      </c>
      <c r="N19" s="53" t="s">
        <v>141</v>
      </c>
    </row>
    <row r="20" spans="1:15" x14ac:dyDescent="0.25">
      <c r="A20" s="80" t="s">
        <v>24</v>
      </c>
      <c r="B20" s="9" t="s">
        <v>127</v>
      </c>
      <c r="C20" s="80">
        <v>1</v>
      </c>
      <c r="D20" s="80" t="s">
        <v>149</v>
      </c>
      <c r="E20" s="32">
        <v>50</v>
      </c>
      <c r="F20" s="80" t="s">
        <v>70</v>
      </c>
      <c r="G20" s="32">
        <f>C20*E20</f>
        <v>50</v>
      </c>
      <c r="H20" s="32">
        <f t="shared" si="6"/>
        <v>216.66666666666666</v>
      </c>
      <c r="I20" s="32"/>
      <c r="J20" s="80"/>
      <c r="K20" s="32">
        <f>H20*$M$5</f>
        <v>2600</v>
      </c>
      <c r="L20" s="32">
        <f>K20</f>
        <v>2600</v>
      </c>
      <c r="M20" s="32">
        <f>L20</f>
        <v>2600</v>
      </c>
    </row>
    <row r="21" spans="1:15" x14ac:dyDescent="0.25">
      <c r="A21" s="80"/>
      <c r="C21" s="80"/>
      <c r="D21" s="80"/>
      <c r="E21" s="32"/>
      <c r="F21" s="80"/>
      <c r="G21" s="32"/>
      <c r="H21" s="32"/>
      <c r="I21" s="32"/>
      <c r="J21" s="80"/>
      <c r="K21" s="32"/>
      <c r="L21" s="32"/>
      <c r="M21" s="32"/>
      <c r="O21" s="2"/>
    </row>
    <row r="22" spans="1:15" s="28" customFormat="1" x14ac:dyDescent="0.25">
      <c r="A22" s="65"/>
      <c r="B22" s="63" t="s">
        <v>116</v>
      </c>
      <c r="C22" s="64"/>
      <c r="D22" s="64"/>
      <c r="E22" s="64"/>
      <c r="F22" s="64"/>
      <c r="G22" s="64" t="s">
        <v>117</v>
      </c>
      <c r="H22" s="60" t="s">
        <v>117</v>
      </c>
      <c r="I22" s="60"/>
      <c r="J22" s="66"/>
      <c r="K22" s="67"/>
      <c r="L22" s="67"/>
      <c r="M22" s="67"/>
      <c r="N22" s="68"/>
    </row>
    <row r="23" spans="1:15" x14ac:dyDescent="0.25">
      <c r="A23" s="80" t="s">
        <v>29</v>
      </c>
      <c r="B23" s="9" t="s">
        <v>82</v>
      </c>
      <c r="C23" s="80">
        <v>10</v>
      </c>
      <c r="D23" s="80" t="s">
        <v>147</v>
      </c>
      <c r="E23" s="32">
        <v>1100</v>
      </c>
      <c r="F23" s="80" t="s">
        <v>70</v>
      </c>
      <c r="G23" s="32">
        <f>C23*E23</f>
        <v>11000</v>
      </c>
      <c r="H23" s="32">
        <f>G23</f>
        <v>11000</v>
      </c>
      <c r="I23" s="32"/>
      <c r="J23" s="80"/>
      <c r="K23" s="32">
        <f t="shared" ref="K23:K28" si="8">H23*$M$5</f>
        <v>132000</v>
      </c>
      <c r="L23" s="32">
        <f>K23</f>
        <v>132000</v>
      </c>
      <c r="M23" s="32">
        <f>L23</f>
        <v>132000</v>
      </c>
    </row>
    <row r="24" spans="1:15" s="85" customFormat="1" x14ac:dyDescent="0.25">
      <c r="A24" s="80" t="s">
        <v>30</v>
      </c>
      <c r="B24" s="85" t="s">
        <v>84</v>
      </c>
      <c r="C24" s="84">
        <v>5</v>
      </c>
      <c r="D24" s="84" t="s">
        <v>85</v>
      </c>
      <c r="E24" s="86">
        <v>1000</v>
      </c>
      <c r="F24" s="84" t="s">
        <v>70</v>
      </c>
      <c r="G24" s="87">
        <f>C24*E24</f>
        <v>5000</v>
      </c>
      <c r="H24" s="87">
        <f t="shared" ref="H24:H46" si="9">G24</f>
        <v>5000</v>
      </c>
      <c r="I24" s="87"/>
      <c r="J24" s="84"/>
      <c r="K24" s="87">
        <f t="shared" si="8"/>
        <v>60000</v>
      </c>
      <c r="L24" s="87">
        <f t="shared" ref="L24:M38" si="10">K24</f>
        <v>60000</v>
      </c>
      <c r="M24" s="87">
        <f t="shared" si="10"/>
        <v>60000</v>
      </c>
      <c r="N24" s="88"/>
    </row>
    <row r="25" spans="1:15" x14ac:dyDescent="0.25">
      <c r="A25" s="80" t="s">
        <v>31</v>
      </c>
      <c r="B25" s="9" t="s">
        <v>87</v>
      </c>
      <c r="C25" s="80">
        <v>10</v>
      </c>
      <c r="D25" s="80" t="s">
        <v>146</v>
      </c>
      <c r="E25" s="69">
        <v>290</v>
      </c>
      <c r="F25" s="80" t="s">
        <v>70</v>
      </c>
      <c r="G25" s="32">
        <f>C25*E25</f>
        <v>2900</v>
      </c>
      <c r="H25" s="32">
        <f t="shared" si="9"/>
        <v>2900</v>
      </c>
      <c r="I25" s="32"/>
      <c r="J25" s="80"/>
      <c r="K25" s="32">
        <f t="shared" si="8"/>
        <v>34800</v>
      </c>
      <c r="L25" s="32">
        <f t="shared" si="10"/>
        <v>34800</v>
      </c>
      <c r="M25" s="32">
        <f t="shared" si="10"/>
        <v>34800</v>
      </c>
      <c r="N25" s="53" t="s">
        <v>168</v>
      </c>
    </row>
    <row r="26" spans="1:15" s="85" customFormat="1" x14ac:dyDescent="0.25">
      <c r="A26" s="80" t="s">
        <v>88</v>
      </c>
      <c r="B26" s="85" t="s">
        <v>112</v>
      </c>
      <c r="C26" s="84">
        <v>20</v>
      </c>
      <c r="D26" s="84" t="s">
        <v>147</v>
      </c>
      <c r="E26" s="86">
        <v>1400</v>
      </c>
      <c r="F26" s="84" t="s">
        <v>70</v>
      </c>
      <c r="G26" s="87">
        <f t="shared" ref="G26:G27" si="11">C26*E26</f>
        <v>28000</v>
      </c>
      <c r="H26" s="87">
        <f t="shared" si="9"/>
        <v>28000</v>
      </c>
      <c r="I26" s="87"/>
      <c r="J26" s="84"/>
      <c r="K26" s="87">
        <f t="shared" si="8"/>
        <v>336000</v>
      </c>
      <c r="L26" s="87">
        <f t="shared" si="10"/>
        <v>336000</v>
      </c>
      <c r="M26" s="87">
        <f t="shared" si="10"/>
        <v>336000</v>
      </c>
      <c r="N26" s="88" t="s">
        <v>162</v>
      </c>
    </row>
    <row r="27" spans="1:15" x14ac:dyDescent="0.25">
      <c r="A27" s="80" t="s">
        <v>90</v>
      </c>
      <c r="B27" s="9" t="s">
        <v>113</v>
      </c>
      <c r="C27" s="80">
        <v>25</v>
      </c>
      <c r="D27" s="80" t="s">
        <v>147</v>
      </c>
      <c r="E27" s="69">
        <v>620</v>
      </c>
      <c r="F27" s="80" t="s">
        <v>70</v>
      </c>
      <c r="G27" s="32">
        <f t="shared" si="11"/>
        <v>15500</v>
      </c>
      <c r="H27" s="32">
        <f t="shared" si="9"/>
        <v>15500</v>
      </c>
      <c r="I27" s="32"/>
      <c r="J27" s="80"/>
      <c r="K27" s="32">
        <f t="shared" si="8"/>
        <v>186000</v>
      </c>
      <c r="L27" s="32">
        <f t="shared" si="10"/>
        <v>186000</v>
      </c>
      <c r="M27" s="32">
        <f t="shared" si="10"/>
        <v>186000</v>
      </c>
      <c r="N27" s="53" t="s">
        <v>165</v>
      </c>
    </row>
    <row r="28" spans="1:15" x14ac:dyDescent="0.25">
      <c r="A28" s="80" t="s">
        <v>100</v>
      </c>
      <c r="B28" s="9" t="s">
        <v>173</v>
      </c>
      <c r="C28" s="80">
        <v>1</v>
      </c>
      <c r="D28" s="80" t="s">
        <v>174</v>
      </c>
      <c r="E28" s="69">
        <v>2450</v>
      </c>
      <c r="F28" s="80" t="s">
        <v>70</v>
      </c>
      <c r="G28" s="32">
        <f>C28*E28</f>
        <v>2450</v>
      </c>
      <c r="H28" s="32">
        <f t="shared" si="9"/>
        <v>2450</v>
      </c>
      <c r="I28" s="32"/>
      <c r="J28" s="80"/>
      <c r="K28" s="32">
        <f t="shared" si="8"/>
        <v>29400</v>
      </c>
      <c r="L28" s="32">
        <f t="shared" si="10"/>
        <v>29400</v>
      </c>
      <c r="M28" s="32">
        <f t="shared" si="10"/>
        <v>29400</v>
      </c>
      <c r="N28" s="53" t="s">
        <v>162</v>
      </c>
    </row>
    <row r="29" spans="1:15" x14ac:dyDescent="0.25">
      <c r="A29" s="80" t="s">
        <v>101</v>
      </c>
      <c r="B29" s="9" t="s">
        <v>163</v>
      </c>
      <c r="C29" s="80">
        <v>2</v>
      </c>
      <c r="D29" s="80" t="s">
        <v>164</v>
      </c>
      <c r="E29" s="69">
        <v>1200</v>
      </c>
      <c r="F29" s="80" t="s">
        <v>70</v>
      </c>
      <c r="G29" s="32">
        <f t="shared" ref="G29:G36" si="12">C29*E29</f>
        <v>2400</v>
      </c>
      <c r="H29" s="32">
        <f t="shared" si="9"/>
        <v>2400</v>
      </c>
      <c r="I29" s="32"/>
      <c r="J29" s="80"/>
      <c r="K29" s="32">
        <f t="shared" ref="K29:K33" si="13">H29*$M$5</f>
        <v>28800</v>
      </c>
      <c r="L29" s="32">
        <f t="shared" si="10"/>
        <v>28800</v>
      </c>
      <c r="M29" s="32">
        <f t="shared" si="10"/>
        <v>28800</v>
      </c>
      <c r="N29" s="53" t="s">
        <v>162</v>
      </c>
    </row>
    <row r="30" spans="1:15" x14ac:dyDescent="0.25">
      <c r="A30" s="80" t="s">
        <v>102</v>
      </c>
      <c r="B30" s="9" t="s">
        <v>158</v>
      </c>
      <c r="C30" s="80">
        <v>10</v>
      </c>
      <c r="D30" s="80" t="s">
        <v>169</v>
      </c>
      <c r="E30" s="69">
        <v>380</v>
      </c>
      <c r="F30" s="80" t="s">
        <v>70</v>
      </c>
      <c r="G30" s="32">
        <f t="shared" si="12"/>
        <v>3800</v>
      </c>
      <c r="H30" s="32">
        <f t="shared" si="9"/>
        <v>3800</v>
      </c>
      <c r="I30" s="32"/>
      <c r="J30" s="80"/>
      <c r="K30" s="32">
        <f t="shared" si="13"/>
        <v>45600</v>
      </c>
      <c r="L30" s="32">
        <f t="shared" si="10"/>
        <v>45600</v>
      </c>
      <c r="M30" s="32">
        <f t="shared" si="10"/>
        <v>45600</v>
      </c>
      <c r="N30" s="53" t="s">
        <v>162</v>
      </c>
    </row>
    <row r="31" spans="1:15" x14ac:dyDescent="0.25">
      <c r="A31" s="80" t="s">
        <v>103</v>
      </c>
      <c r="B31" s="9" t="s">
        <v>159</v>
      </c>
      <c r="C31" s="80">
        <v>10</v>
      </c>
      <c r="D31" s="80" t="s">
        <v>145</v>
      </c>
      <c r="E31" s="69">
        <f>113*2</f>
        <v>226</v>
      </c>
      <c r="F31" s="80" t="s">
        <v>70</v>
      </c>
      <c r="G31" s="32">
        <f t="shared" si="12"/>
        <v>2260</v>
      </c>
      <c r="H31" s="32">
        <f t="shared" si="9"/>
        <v>2260</v>
      </c>
      <c r="I31" s="32"/>
      <c r="J31" s="80"/>
      <c r="K31" s="32">
        <f t="shared" si="13"/>
        <v>27120</v>
      </c>
      <c r="L31" s="32">
        <f t="shared" si="10"/>
        <v>27120</v>
      </c>
      <c r="M31" s="32">
        <f t="shared" si="10"/>
        <v>27120</v>
      </c>
      <c r="N31" s="53" t="s">
        <v>168</v>
      </c>
    </row>
    <row r="32" spans="1:15" x14ac:dyDescent="0.25">
      <c r="A32" s="80" t="s">
        <v>104</v>
      </c>
      <c r="B32" s="9" t="s">
        <v>171</v>
      </c>
      <c r="C32" s="80">
        <v>5</v>
      </c>
      <c r="D32" s="80" t="s">
        <v>170</v>
      </c>
      <c r="E32" s="69">
        <v>300</v>
      </c>
      <c r="F32" s="80" t="s">
        <v>70</v>
      </c>
      <c r="G32" s="32">
        <f t="shared" si="12"/>
        <v>1500</v>
      </c>
      <c r="H32" s="32">
        <f t="shared" si="9"/>
        <v>1500</v>
      </c>
      <c r="I32" s="32"/>
      <c r="J32" s="80"/>
      <c r="K32" s="32">
        <f t="shared" si="13"/>
        <v>18000</v>
      </c>
      <c r="L32" s="32">
        <f t="shared" si="10"/>
        <v>18000</v>
      </c>
      <c r="M32" s="32">
        <f t="shared" si="10"/>
        <v>18000</v>
      </c>
    </row>
    <row r="33" spans="1:15" x14ac:dyDescent="0.25">
      <c r="A33" s="80" t="s">
        <v>105</v>
      </c>
      <c r="B33" s="9" t="s">
        <v>161</v>
      </c>
      <c r="C33" s="80">
        <v>3</v>
      </c>
      <c r="D33" s="80" t="s">
        <v>172</v>
      </c>
      <c r="E33" s="69">
        <v>300</v>
      </c>
      <c r="F33" s="80" t="s">
        <v>70</v>
      </c>
      <c r="G33" s="32">
        <f t="shared" si="12"/>
        <v>900</v>
      </c>
      <c r="H33" s="32">
        <f t="shared" si="9"/>
        <v>900</v>
      </c>
      <c r="I33" s="32"/>
      <c r="J33" s="80"/>
      <c r="K33" s="32">
        <f t="shared" si="13"/>
        <v>10800</v>
      </c>
      <c r="L33" s="32">
        <f t="shared" si="10"/>
        <v>10800</v>
      </c>
      <c r="M33" s="32">
        <f t="shared" si="10"/>
        <v>10800</v>
      </c>
    </row>
    <row r="34" spans="1:15" x14ac:dyDescent="0.25">
      <c r="A34" s="80" t="s">
        <v>106</v>
      </c>
      <c r="B34" s="9" t="s">
        <v>83</v>
      </c>
      <c r="C34" s="80">
        <v>1</v>
      </c>
      <c r="D34" s="80" t="s">
        <v>154</v>
      </c>
      <c r="E34" s="69">
        <f>50*(C23+C26+C27+2)+30*(C24+C25)</f>
        <v>3300</v>
      </c>
      <c r="F34" s="80" t="s">
        <v>70</v>
      </c>
      <c r="G34" s="32">
        <f t="shared" si="12"/>
        <v>3300</v>
      </c>
      <c r="H34" s="32">
        <f t="shared" si="9"/>
        <v>3300</v>
      </c>
      <c r="I34" s="32"/>
      <c r="J34" s="80"/>
      <c r="K34" s="32">
        <f>H34*$M$5</f>
        <v>39600</v>
      </c>
      <c r="L34" s="32">
        <f t="shared" si="10"/>
        <v>39600</v>
      </c>
      <c r="M34" s="32">
        <f t="shared" si="10"/>
        <v>39600</v>
      </c>
      <c r="N34" s="53" t="s">
        <v>166</v>
      </c>
      <c r="O34" s="28"/>
    </row>
    <row r="35" spans="1:15" s="11" customFormat="1" x14ac:dyDescent="0.25">
      <c r="A35" s="81" t="s">
        <v>107</v>
      </c>
      <c r="B35" s="11" t="s">
        <v>95</v>
      </c>
      <c r="C35" s="81">
        <f>'Info general'!C19</f>
        <v>5</v>
      </c>
      <c r="D35" s="81" t="s">
        <v>155</v>
      </c>
      <c r="E35" s="69">
        <v>300</v>
      </c>
      <c r="F35" s="81" t="s">
        <v>70</v>
      </c>
      <c r="G35" s="69">
        <f t="shared" si="12"/>
        <v>1500</v>
      </c>
      <c r="H35" s="69">
        <f t="shared" si="9"/>
        <v>1500</v>
      </c>
      <c r="I35" s="69"/>
      <c r="J35" s="81"/>
      <c r="K35" s="69">
        <f>H35*$M$5</f>
        <v>18000</v>
      </c>
      <c r="L35" s="69">
        <f t="shared" si="10"/>
        <v>18000</v>
      </c>
      <c r="M35" s="69">
        <f t="shared" si="10"/>
        <v>18000</v>
      </c>
      <c r="N35" s="83" t="s">
        <v>187</v>
      </c>
    </row>
    <row r="36" spans="1:15" s="11" customFormat="1" x14ac:dyDescent="0.25">
      <c r="A36" s="81" t="s">
        <v>108</v>
      </c>
      <c r="B36" s="11" t="s">
        <v>96</v>
      </c>
      <c r="C36" s="81">
        <f>'Info general'!C20</f>
        <v>5</v>
      </c>
      <c r="D36" s="81" t="s">
        <v>155</v>
      </c>
      <c r="E36" s="69">
        <v>90</v>
      </c>
      <c r="F36" s="81" t="s">
        <v>70</v>
      </c>
      <c r="G36" s="69">
        <f t="shared" si="12"/>
        <v>450</v>
      </c>
      <c r="H36" s="69">
        <f t="shared" si="9"/>
        <v>450</v>
      </c>
      <c r="I36" s="69"/>
      <c r="J36" s="81"/>
      <c r="K36" s="69">
        <f>H36*$M$5</f>
        <v>5400</v>
      </c>
      <c r="L36" s="69">
        <f t="shared" si="10"/>
        <v>5400</v>
      </c>
      <c r="M36" s="69">
        <f t="shared" si="10"/>
        <v>5400</v>
      </c>
      <c r="N36" s="83" t="s">
        <v>130</v>
      </c>
    </row>
    <row r="37" spans="1:15" x14ac:dyDescent="0.25">
      <c r="A37" s="80" t="s">
        <v>125</v>
      </c>
      <c r="B37" s="9" t="s">
        <v>135</v>
      </c>
      <c r="C37" s="80">
        <v>12</v>
      </c>
      <c r="D37" s="80" t="s">
        <v>177</v>
      </c>
      <c r="E37" s="69">
        <v>230</v>
      </c>
      <c r="F37" s="80" t="s">
        <v>70</v>
      </c>
      <c r="G37" s="32">
        <f>C37*E37</f>
        <v>2760</v>
      </c>
      <c r="H37" s="32">
        <f t="shared" si="9"/>
        <v>2760</v>
      </c>
      <c r="I37" s="32"/>
      <c r="J37" s="80"/>
      <c r="K37" s="32">
        <f>H37*$M$5</f>
        <v>33120</v>
      </c>
      <c r="L37" s="32">
        <f t="shared" si="10"/>
        <v>33120</v>
      </c>
      <c r="M37" s="32">
        <f t="shared" si="10"/>
        <v>33120</v>
      </c>
      <c r="N37" s="53" t="s">
        <v>175</v>
      </c>
    </row>
    <row r="38" spans="1:15" x14ac:dyDescent="0.25">
      <c r="A38" s="80" t="s">
        <v>191</v>
      </c>
      <c r="B38" s="9" t="s">
        <v>136</v>
      </c>
      <c r="C38" s="80">
        <v>0</v>
      </c>
      <c r="D38" s="80" t="s">
        <v>147</v>
      </c>
      <c r="E38" s="69">
        <v>0</v>
      </c>
      <c r="F38" s="80" t="s">
        <v>70</v>
      </c>
      <c r="G38" s="32">
        <f>C38*E38</f>
        <v>0</v>
      </c>
      <c r="H38" s="32">
        <f t="shared" si="9"/>
        <v>0</v>
      </c>
      <c r="I38" s="32"/>
      <c r="J38" s="80"/>
      <c r="K38" s="32">
        <f t="shared" ref="K38" si="14">H38*$M$5</f>
        <v>0</v>
      </c>
      <c r="L38" s="32">
        <f t="shared" si="10"/>
        <v>0</v>
      </c>
      <c r="M38" s="32">
        <f t="shared" si="10"/>
        <v>0</v>
      </c>
      <c r="N38" s="53" t="s">
        <v>176</v>
      </c>
    </row>
    <row r="39" spans="1:15" x14ac:dyDescent="0.25">
      <c r="A39" s="80" t="s">
        <v>192</v>
      </c>
      <c r="B39" s="9" t="s">
        <v>181</v>
      </c>
      <c r="C39" s="80">
        <v>12</v>
      </c>
      <c r="D39" s="81" t="s">
        <v>153</v>
      </c>
      <c r="E39" s="32">
        <v>115</v>
      </c>
      <c r="F39" s="80" t="s">
        <v>70</v>
      </c>
      <c r="G39" s="32">
        <f t="shared" si="0"/>
        <v>1380</v>
      </c>
      <c r="H39" s="32">
        <f t="shared" si="9"/>
        <v>1380</v>
      </c>
      <c r="I39" s="32"/>
      <c r="J39" s="80"/>
      <c r="K39" s="32">
        <f>H39*$M$5</f>
        <v>16560</v>
      </c>
      <c r="L39" s="32">
        <f t="shared" si="7"/>
        <v>16560</v>
      </c>
      <c r="M39" s="32">
        <f t="shared" si="7"/>
        <v>16560</v>
      </c>
      <c r="N39" s="53" t="s">
        <v>144</v>
      </c>
    </row>
    <row r="40" spans="1:15" x14ac:dyDescent="0.25">
      <c r="A40" s="80" t="s">
        <v>193</v>
      </c>
      <c r="B40" s="9" t="s">
        <v>180</v>
      </c>
      <c r="C40" s="80">
        <v>10</v>
      </c>
      <c r="D40" s="81" t="s">
        <v>153</v>
      </c>
      <c r="E40" s="32">
        <v>180</v>
      </c>
      <c r="F40" s="80" t="s">
        <v>70</v>
      </c>
      <c r="G40" s="32">
        <f t="shared" si="0"/>
        <v>1800</v>
      </c>
      <c r="H40" s="32">
        <f t="shared" si="9"/>
        <v>1800</v>
      </c>
      <c r="I40" s="32"/>
      <c r="J40" s="80"/>
      <c r="K40" s="32">
        <f t="shared" ref="K40" si="15">H40*$M$5</f>
        <v>21600</v>
      </c>
      <c r="L40" s="32">
        <f t="shared" si="7"/>
        <v>21600</v>
      </c>
      <c r="M40" s="32">
        <f t="shared" si="7"/>
        <v>21600</v>
      </c>
      <c r="N40" s="53" t="s">
        <v>144</v>
      </c>
    </row>
    <row r="41" spans="1:15" x14ac:dyDescent="0.25">
      <c r="A41" s="80" t="s">
        <v>194</v>
      </c>
      <c r="B41" s="9" t="s">
        <v>98</v>
      </c>
      <c r="C41" s="80">
        <v>12</v>
      </c>
      <c r="D41" s="81" t="s">
        <v>153</v>
      </c>
      <c r="E41" s="32">
        <f>1500/12</f>
        <v>125</v>
      </c>
      <c r="F41" s="80" t="s">
        <v>70</v>
      </c>
      <c r="G41" s="32">
        <f t="shared" si="0"/>
        <v>1500</v>
      </c>
      <c r="H41" s="32">
        <f t="shared" si="9"/>
        <v>1500</v>
      </c>
      <c r="I41" s="32"/>
      <c r="J41" s="80"/>
      <c r="K41" s="32">
        <f>H41*$M$5</f>
        <v>18000</v>
      </c>
      <c r="L41" s="32">
        <f t="shared" si="7"/>
        <v>18000</v>
      </c>
      <c r="M41" s="32">
        <f t="shared" si="7"/>
        <v>18000</v>
      </c>
      <c r="N41" s="53" t="s">
        <v>144</v>
      </c>
    </row>
    <row r="42" spans="1:15" x14ac:dyDescent="0.25">
      <c r="A42" s="80" t="s">
        <v>195</v>
      </c>
      <c r="B42" s="9" t="s">
        <v>99</v>
      </c>
      <c r="C42" s="80">
        <v>12</v>
      </c>
      <c r="D42" s="81" t="s">
        <v>153</v>
      </c>
      <c r="E42" s="32">
        <v>110</v>
      </c>
      <c r="F42" s="80" t="s">
        <v>70</v>
      </c>
      <c r="G42" s="32">
        <f t="shared" si="0"/>
        <v>1320</v>
      </c>
      <c r="H42" s="32">
        <f t="shared" si="9"/>
        <v>1320</v>
      </c>
      <c r="I42" s="32"/>
      <c r="J42" s="80"/>
      <c r="K42" s="32">
        <f>H42*$M$5</f>
        <v>15840</v>
      </c>
      <c r="L42" s="32">
        <f t="shared" si="7"/>
        <v>15840</v>
      </c>
      <c r="M42" s="32">
        <f t="shared" si="7"/>
        <v>15840</v>
      </c>
      <c r="N42" s="53" t="s">
        <v>144</v>
      </c>
    </row>
    <row r="43" spans="1:15" x14ac:dyDescent="0.25">
      <c r="A43" s="80" t="s">
        <v>196</v>
      </c>
      <c r="B43" s="9" t="s">
        <v>179</v>
      </c>
      <c r="C43" s="80">
        <v>5</v>
      </c>
      <c r="D43" s="81" t="s">
        <v>153</v>
      </c>
      <c r="E43" s="32">
        <v>250</v>
      </c>
      <c r="F43" s="80" t="s">
        <v>70</v>
      </c>
      <c r="G43" s="32">
        <f t="shared" si="0"/>
        <v>1250</v>
      </c>
      <c r="H43" s="32">
        <f t="shared" si="9"/>
        <v>1250</v>
      </c>
      <c r="I43" s="32"/>
      <c r="J43" s="80"/>
      <c r="K43" s="32">
        <f>H43*$M$5</f>
        <v>15000</v>
      </c>
      <c r="L43" s="32">
        <f t="shared" ref="L43:M45" si="16">K43</f>
        <v>15000</v>
      </c>
      <c r="M43" s="32">
        <f t="shared" si="16"/>
        <v>15000</v>
      </c>
    </row>
    <row r="44" spans="1:15" x14ac:dyDescent="0.25">
      <c r="A44" s="80" t="s">
        <v>197</v>
      </c>
      <c r="B44" s="9" t="s">
        <v>97</v>
      </c>
      <c r="C44" s="80">
        <v>1</v>
      </c>
      <c r="D44" s="80" t="s">
        <v>154</v>
      </c>
      <c r="E44" s="32">
        <v>500</v>
      </c>
      <c r="F44" s="80" t="s">
        <v>70</v>
      </c>
      <c r="G44" s="32">
        <f t="shared" si="0"/>
        <v>500</v>
      </c>
      <c r="H44" s="32">
        <f t="shared" si="9"/>
        <v>500</v>
      </c>
      <c r="I44" s="32"/>
      <c r="J44" s="80"/>
      <c r="K44" s="32">
        <f>H44*$M$5</f>
        <v>6000</v>
      </c>
      <c r="L44" s="32">
        <f t="shared" si="16"/>
        <v>6000</v>
      </c>
      <c r="M44" s="32">
        <f t="shared" si="16"/>
        <v>6000</v>
      </c>
      <c r="N44" s="53" t="s">
        <v>182</v>
      </c>
      <c r="O44" s="29"/>
    </row>
    <row r="45" spans="1:15" x14ac:dyDescent="0.25">
      <c r="A45" s="80" t="s">
        <v>198</v>
      </c>
      <c r="B45" s="9" t="s">
        <v>127</v>
      </c>
      <c r="C45" s="80">
        <v>1</v>
      </c>
      <c r="D45" s="80" t="s">
        <v>149</v>
      </c>
      <c r="E45" s="32">
        <v>400</v>
      </c>
      <c r="F45" s="80" t="s">
        <v>70</v>
      </c>
      <c r="G45" s="32">
        <f t="shared" si="0"/>
        <v>400</v>
      </c>
      <c r="H45" s="32">
        <f t="shared" si="9"/>
        <v>400</v>
      </c>
      <c r="I45" s="32"/>
      <c r="J45" s="80"/>
      <c r="K45" s="32">
        <f>H45*$M$5</f>
        <v>4800</v>
      </c>
      <c r="L45" s="32">
        <f t="shared" si="16"/>
        <v>4800</v>
      </c>
      <c r="M45" s="32">
        <f t="shared" si="16"/>
        <v>4800</v>
      </c>
      <c r="O45" s="2"/>
    </row>
    <row r="46" spans="1:15" x14ac:dyDescent="0.25">
      <c r="A46" s="80"/>
      <c r="C46" s="80"/>
      <c r="D46" s="80"/>
      <c r="E46" s="32"/>
      <c r="F46" s="80"/>
      <c r="G46" s="32"/>
      <c r="H46" s="32">
        <f t="shared" si="9"/>
        <v>0</v>
      </c>
      <c r="I46" s="32"/>
      <c r="J46" s="80"/>
      <c r="K46" s="32"/>
      <c r="L46" s="32"/>
      <c r="M46" s="32"/>
    </row>
    <row r="47" spans="1:15" s="7" customFormat="1" x14ac:dyDescent="0.25">
      <c r="A47" s="79" t="s">
        <v>7</v>
      </c>
      <c r="B47" s="136" t="s">
        <v>0</v>
      </c>
      <c r="C47" s="136"/>
      <c r="D47" s="136"/>
      <c r="E47" s="136"/>
      <c r="F47" s="136"/>
      <c r="G47" s="31"/>
      <c r="H47" s="31">
        <f>SUM(H9:H46)</f>
        <v>108321.66666666666</v>
      </c>
      <c r="I47" s="31"/>
      <c r="J47" s="8"/>
      <c r="K47" s="31">
        <f>SUM(K9:K46)</f>
        <v>1299860</v>
      </c>
      <c r="L47" s="31">
        <f>SUM(L9:L46)</f>
        <v>1299860</v>
      </c>
      <c r="M47" s="31">
        <f>SUM(M9:M46)</f>
        <v>1299860</v>
      </c>
      <c r="N47" s="57"/>
    </row>
    <row r="48" spans="1:15" ht="24" customHeight="1" x14ac:dyDescent="0.25">
      <c r="G48" s="45"/>
      <c r="H48" s="45"/>
      <c r="I48" s="45"/>
      <c r="J48" s="80"/>
    </row>
    <row r="49" spans="1:14" ht="18.75" x14ac:dyDescent="0.25">
      <c r="A49" s="137" t="s">
        <v>41</v>
      </c>
      <c r="B49" s="137"/>
      <c r="C49" s="137"/>
      <c r="D49" s="137"/>
      <c r="E49" s="137"/>
      <c r="F49" s="137"/>
      <c r="G49" s="137"/>
      <c r="H49" s="78"/>
      <c r="I49" s="78"/>
      <c r="J49" s="80"/>
      <c r="K49" s="34" t="s">
        <v>57</v>
      </c>
      <c r="L49" s="34" t="s">
        <v>56</v>
      </c>
      <c r="M49" s="34" t="s">
        <v>58</v>
      </c>
      <c r="N49" s="54"/>
    </row>
    <row r="50" spans="1:14" x14ac:dyDescent="0.25">
      <c r="A50" s="6" t="s">
        <v>11</v>
      </c>
      <c r="B50" s="6" t="s">
        <v>42</v>
      </c>
      <c r="C50" s="6" t="s">
        <v>49</v>
      </c>
      <c r="D50" s="6" t="s">
        <v>3</v>
      </c>
      <c r="E50" s="6" t="s">
        <v>43</v>
      </c>
      <c r="F50" s="6" t="s">
        <v>3</v>
      </c>
      <c r="G50" s="6" t="s">
        <v>1</v>
      </c>
      <c r="H50" s="6" t="s">
        <v>121</v>
      </c>
      <c r="I50" s="6"/>
      <c r="J50" s="80"/>
      <c r="K50" s="35" t="s">
        <v>1</v>
      </c>
      <c r="L50" s="35" t="s">
        <v>1</v>
      </c>
      <c r="M50" s="35" t="s">
        <v>1</v>
      </c>
      <c r="N50" s="55"/>
    </row>
    <row r="51" spans="1:14" s="28" customFormat="1" x14ac:dyDescent="0.25">
      <c r="A51" s="65"/>
      <c r="B51" s="63" t="s">
        <v>119</v>
      </c>
      <c r="C51" s="64"/>
      <c r="D51" s="64"/>
      <c r="E51" s="64"/>
      <c r="F51" s="64"/>
      <c r="G51" s="64" t="s">
        <v>118</v>
      </c>
      <c r="H51" s="60" t="s">
        <v>117</v>
      </c>
      <c r="I51" s="60"/>
      <c r="J51" s="66"/>
      <c r="K51" s="67"/>
      <c r="L51" s="67"/>
      <c r="M51" s="67"/>
      <c r="N51" s="68"/>
    </row>
    <row r="52" spans="1:14" x14ac:dyDescent="0.25">
      <c r="A52" s="80" t="s">
        <v>25</v>
      </c>
      <c r="B52" s="9" t="s">
        <v>76</v>
      </c>
      <c r="C52" s="80">
        <f>C16</f>
        <v>48</v>
      </c>
      <c r="D52" s="80" t="str">
        <f>D16</f>
        <v>kg</v>
      </c>
      <c r="E52" s="32">
        <v>70</v>
      </c>
      <c r="F52" s="80" t="s">
        <v>70</v>
      </c>
      <c r="G52" s="32">
        <f t="shared" ref="G52:G53" si="17">C52*E52</f>
        <v>3360</v>
      </c>
      <c r="H52" s="32">
        <f>G52*52/12</f>
        <v>14560</v>
      </c>
      <c r="I52" s="32">
        <f>H52-H16</f>
        <v>10400</v>
      </c>
      <c r="J52" s="80"/>
      <c r="K52" s="32">
        <f>H52*$M$5</f>
        <v>174720</v>
      </c>
      <c r="L52" s="32">
        <f t="shared" ref="L52:M53" si="18">K52</f>
        <v>174720</v>
      </c>
      <c r="M52" s="32">
        <f t="shared" si="18"/>
        <v>174720</v>
      </c>
    </row>
    <row r="53" spans="1:14" x14ac:dyDescent="0.25">
      <c r="A53" s="80" t="s">
        <v>26</v>
      </c>
      <c r="B53" s="9" t="s">
        <v>77</v>
      </c>
      <c r="C53" s="80">
        <v>48</v>
      </c>
      <c r="D53" s="80" t="str">
        <f>D17</f>
        <v>kg</v>
      </c>
      <c r="E53" s="32">
        <v>40</v>
      </c>
      <c r="F53" s="80" t="s">
        <v>70</v>
      </c>
      <c r="G53" s="32">
        <f t="shared" si="17"/>
        <v>1920</v>
      </c>
      <c r="H53" s="32">
        <f t="shared" ref="H53" si="19">G53*52/12</f>
        <v>8320</v>
      </c>
      <c r="I53" s="32">
        <f>H53-H17</f>
        <v>3986.666666666667</v>
      </c>
      <c r="J53" s="80"/>
      <c r="K53" s="32">
        <f>H53*$M$5</f>
        <v>99840</v>
      </c>
      <c r="L53" s="32">
        <f t="shared" si="18"/>
        <v>99840</v>
      </c>
      <c r="M53" s="32">
        <f t="shared" si="18"/>
        <v>99840</v>
      </c>
      <c r="N53" s="53" t="s">
        <v>186</v>
      </c>
    </row>
    <row r="54" spans="1:14" s="11" customFormat="1" x14ac:dyDescent="0.25">
      <c r="A54" s="80"/>
      <c r="B54" s="9"/>
      <c r="C54" s="62"/>
      <c r="D54" s="80"/>
      <c r="E54" s="32"/>
      <c r="F54" s="80"/>
      <c r="G54" s="32"/>
      <c r="H54" s="32"/>
      <c r="I54" s="32"/>
      <c r="J54" s="80"/>
      <c r="K54" s="32"/>
      <c r="L54" s="32"/>
      <c r="M54" s="32"/>
      <c r="N54" s="53"/>
    </row>
    <row r="55" spans="1:14" s="28" customFormat="1" x14ac:dyDescent="0.25">
      <c r="A55" s="65"/>
      <c r="B55" s="63" t="s">
        <v>120</v>
      </c>
      <c r="C55" s="64"/>
      <c r="D55" s="64"/>
      <c r="E55" s="64"/>
      <c r="F55" s="64"/>
      <c r="G55" s="64" t="s">
        <v>117</v>
      </c>
      <c r="H55" s="60" t="s">
        <v>117</v>
      </c>
      <c r="I55" s="60"/>
      <c r="J55" s="66"/>
      <c r="K55" s="67"/>
      <c r="L55" s="67"/>
      <c r="M55" s="67"/>
      <c r="N55" s="68"/>
    </row>
    <row r="56" spans="1:14" x14ac:dyDescent="0.25">
      <c r="A56" s="80" t="s">
        <v>27</v>
      </c>
      <c r="B56" s="9" t="s">
        <v>82</v>
      </c>
      <c r="C56" s="80">
        <f>C23*50</f>
        <v>500</v>
      </c>
      <c r="D56" s="80" t="s">
        <v>145</v>
      </c>
      <c r="E56" s="32">
        <f>30*0.5+1250/50*0.5</f>
        <v>27.5</v>
      </c>
      <c r="F56" s="80" t="s">
        <v>70</v>
      </c>
      <c r="G56" s="32">
        <f t="shared" ref="G56:G75" si="20">C56*E56</f>
        <v>13750</v>
      </c>
      <c r="H56" s="32">
        <f t="shared" ref="H56:H75" si="21">G56</f>
        <v>13750</v>
      </c>
      <c r="I56" s="32">
        <f>H23</f>
        <v>11000</v>
      </c>
      <c r="J56" s="80"/>
      <c r="K56" s="32">
        <f t="shared" ref="K56:K67" si="22">H56*$M$5</f>
        <v>165000</v>
      </c>
      <c r="L56" s="32">
        <f t="shared" ref="L56:M68" si="23">K56</f>
        <v>165000</v>
      </c>
      <c r="M56" s="32">
        <f t="shared" si="23"/>
        <v>165000</v>
      </c>
      <c r="N56" s="53" t="s">
        <v>167</v>
      </c>
    </row>
    <row r="57" spans="1:14" x14ac:dyDescent="0.25">
      <c r="A57" s="80" t="s">
        <v>78</v>
      </c>
      <c r="B57" s="9" t="s">
        <v>84</v>
      </c>
      <c r="C57" s="80">
        <f>C24*20</f>
        <v>100</v>
      </c>
      <c r="D57" s="80" t="s">
        <v>86</v>
      </c>
      <c r="E57" s="32">
        <v>60</v>
      </c>
      <c r="F57" s="80" t="s">
        <v>70</v>
      </c>
      <c r="G57" s="32">
        <f t="shared" si="20"/>
        <v>6000</v>
      </c>
      <c r="H57" s="32">
        <f t="shared" si="21"/>
        <v>6000</v>
      </c>
      <c r="I57" s="32">
        <f>H57+H58-H24</f>
        <v>1250</v>
      </c>
      <c r="J57" s="80"/>
      <c r="K57" s="32">
        <f t="shared" si="22"/>
        <v>72000</v>
      </c>
      <c r="L57" s="32">
        <f t="shared" si="23"/>
        <v>72000</v>
      </c>
      <c r="M57" s="32">
        <f t="shared" si="23"/>
        <v>72000</v>
      </c>
    </row>
    <row r="58" spans="1:14" x14ac:dyDescent="0.25">
      <c r="A58" s="80" t="s">
        <v>79</v>
      </c>
      <c r="B58" s="9" t="s">
        <v>150</v>
      </c>
      <c r="C58" s="80">
        <f>C24</f>
        <v>5</v>
      </c>
      <c r="D58" s="80" t="s">
        <v>151</v>
      </c>
      <c r="E58" s="32">
        <v>50</v>
      </c>
      <c r="F58" s="80" t="s">
        <v>70</v>
      </c>
      <c r="G58" s="32">
        <f t="shared" si="20"/>
        <v>250</v>
      </c>
      <c r="H58" s="32">
        <f t="shared" si="21"/>
        <v>250</v>
      </c>
      <c r="I58" s="32"/>
      <c r="J58" s="80"/>
      <c r="K58" s="32">
        <f t="shared" si="22"/>
        <v>3000</v>
      </c>
      <c r="L58" s="32">
        <f t="shared" si="23"/>
        <v>3000</v>
      </c>
      <c r="M58" s="32">
        <f t="shared" si="23"/>
        <v>3000</v>
      </c>
      <c r="N58" s="53" t="s">
        <v>152</v>
      </c>
    </row>
    <row r="59" spans="1:14" x14ac:dyDescent="0.25">
      <c r="A59" s="80" t="s">
        <v>137</v>
      </c>
      <c r="B59" s="9" t="s">
        <v>87</v>
      </c>
      <c r="C59" s="80">
        <f>C25*10</f>
        <v>100</v>
      </c>
      <c r="D59" s="80" t="s">
        <v>145</v>
      </c>
      <c r="E59" s="32">
        <v>40</v>
      </c>
      <c r="F59" s="80" t="s">
        <v>70</v>
      </c>
      <c r="G59" s="32">
        <f t="shared" si="20"/>
        <v>4000</v>
      </c>
      <c r="H59" s="32">
        <f t="shared" si="21"/>
        <v>4000</v>
      </c>
      <c r="I59" s="32">
        <f>H59-H25</f>
        <v>1100</v>
      </c>
      <c r="J59" s="80"/>
      <c r="K59" s="32">
        <f t="shared" si="22"/>
        <v>48000</v>
      </c>
      <c r="L59" s="32">
        <f t="shared" si="23"/>
        <v>48000</v>
      </c>
      <c r="M59" s="32">
        <f t="shared" si="23"/>
        <v>48000</v>
      </c>
    </row>
    <row r="60" spans="1:14" x14ac:dyDescent="0.25">
      <c r="A60" s="80" t="s">
        <v>89</v>
      </c>
      <c r="B60" s="9" t="s">
        <v>112</v>
      </c>
      <c r="C60" s="62">
        <f>C26</f>
        <v>20</v>
      </c>
      <c r="D60" s="80" t="s">
        <v>147</v>
      </c>
      <c r="E60" s="32">
        <v>1500</v>
      </c>
      <c r="F60" s="80" t="s">
        <v>70</v>
      </c>
      <c r="G60" s="32">
        <f t="shared" si="20"/>
        <v>30000</v>
      </c>
      <c r="H60" s="32">
        <f t="shared" si="21"/>
        <v>30000</v>
      </c>
      <c r="I60" s="32">
        <f t="shared" ref="I60:I70" si="24">H60-H26</f>
        <v>2000</v>
      </c>
      <c r="J60" s="80"/>
      <c r="K60" s="32">
        <f t="shared" si="22"/>
        <v>360000</v>
      </c>
      <c r="L60" s="32">
        <f t="shared" si="23"/>
        <v>360000</v>
      </c>
      <c r="M60" s="32">
        <f t="shared" si="23"/>
        <v>360000</v>
      </c>
    </row>
    <row r="61" spans="1:14" x14ac:dyDescent="0.25">
      <c r="A61" s="80" t="s">
        <v>91</v>
      </c>
      <c r="B61" s="9" t="s">
        <v>113</v>
      </c>
      <c r="C61" s="62">
        <f>C27</f>
        <v>25</v>
      </c>
      <c r="D61" s="80" t="s">
        <v>147</v>
      </c>
      <c r="E61" s="32">
        <v>700</v>
      </c>
      <c r="F61" s="80" t="s">
        <v>70</v>
      </c>
      <c r="G61" s="32">
        <f t="shared" si="20"/>
        <v>17500</v>
      </c>
      <c r="H61" s="32">
        <f t="shared" si="21"/>
        <v>17500</v>
      </c>
      <c r="I61" s="32">
        <f t="shared" si="24"/>
        <v>2000</v>
      </c>
      <c r="J61" s="80"/>
      <c r="K61" s="32">
        <f t="shared" si="22"/>
        <v>210000</v>
      </c>
      <c r="L61" s="32">
        <f t="shared" si="23"/>
        <v>210000</v>
      </c>
      <c r="M61" s="32">
        <f t="shared" si="23"/>
        <v>210000</v>
      </c>
    </row>
    <row r="62" spans="1:14" x14ac:dyDescent="0.25">
      <c r="A62" s="80" t="s">
        <v>92</v>
      </c>
      <c r="B62" s="9" t="s">
        <v>173</v>
      </c>
      <c r="C62" s="62">
        <f>C28*25</f>
        <v>25</v>
      </c>
      <c r="D62" s="80" t="s">
        <v>145</v>
      </c>
      <c r="E62" s="32">
        <v>160</v>
      </c>
      <c r="F62" s="80" t="s">
        <v>70</v>
      </c>
      <c r="G62" s="32">
        <f t="shared" si="20"/>
        <v>4000</v>
      </c>
      <c r="H62" s="32">
        <f t="shared" si="21"/>
        <v>4000</v>
      </c>
      <c r="I62" s="32">
        <f t="shared" si="24"/>
        <v>1550</v>
      </c>
      <c r="J62" s="80"/>
      <c r="K62" s="32">
        <f t="shared" si="22"/>
        <v>48000</v>
      </c>
      <c r="L62" s="32">
        <f t="shared" si="23"/>
        <v>48000</v>
      </c>
      <c r="M62" s="32">
        <f t="shared" si="23"/>
        <v>48000</v>
      </c>
    </row>
    <row r="63" spans="1:14" x14ac:dyDescent="0.25">
      <c r="A63" s="80" t="s">
        <v>109</v>
      </c>
      <c r="B63" s="9" t="s">
        <v>163</v>
      </c>
      <c r="C63" s="62">
        <f>C29*96</f>
        <v>192</v>
      </c>
      <c r="D63" s="80" t="s">
        <v>153</v>
      </c>
      <c r="E63" s="32">
        <v>15</v>
      </c>
      <c r="F63" s="80" t="s">
        <v>70</v>
      </c>
      <c r="G63" s="32">
        <f t="shared" si="20"/>
        <v>2880</v>
      </c>
      <c r="H63" s="32">
        <f t="shared" si="21"/>
        <v>2880</v>
      </c>
      <c r="I63" s="32">
        <f t="shared" si="24"/>
        <v>480</v>
      </c>
      <c r="J63" s="80"/>
      <c r="K63" s="32">
        <f t="shared" si="22"/>
        <v>34560</v>
      </c>
      <c r="L63" s="32">
        <f t="shared" si="23"/>
        <v>34560</v>
      </c>
      <c r="M63" s="32">
        <f t="shared" si="23"/>
        <v>34560</v>
      </c>
    </row>
    <row r="64" spans="1:14" x14ac:dyDescent="0.25">
      <c r="A64" s="80" t="s">
        <v>110</v>
      </c>
      <c r="B64" s="9" t="s">
        <v>158</v>
      </c>
      <c r="C64" s="62">
        <f>C30*50</f>
        <v>500</v>
      </c>
      <c r="D64" s="80" t="s">
        <v>153</v>
      </c>
      <c r="E64" s="32">
        <v>10</v>
      </c>
      <c r="F64" s="80" t="s">
        <v>70</v>
      </c>
      <c r="G64" s="32">
        <f t="shared" si="20"/>
        <v>5000</v>
      </c>
      <c r="H64" s="32">
        <f t="shared" si="21"/>
        <v>5000</v>
      </c>
      <c r="I64" s="32">
        <f t="shared" si="24"/>
        <v>1200</v>
      </c>
      <c r="J64" s="80"/>
      <c r="K64" s="32">
        <f t="shared" si="22"/>
        <v>60000</v>
      </c>
      <c r="L64" s="32">
        <f t="shared" si="23"/>
        <v>60000</v>
      </c>
      <c r="M64" s="32">
        <f t="shared" si="23"/>
        <v>60000</v>
      </c>
    </row>
    <row r="65" spans="1:14" x14ac:dyDescent="0.25">
      <c r="A65" s="80" t="s">
        <v>111</v>
      </c>
      <c r="B65" s="9" t="s">
        <v>159</v>
      </c>
      <c r="C65" s="62">
        <f>C31</f>
        <v>10</v>
      </c>
      <c r="D65" s="80" t="s">
        <v>145</v>
      </c>
      <c r="E65" s="32">
        <f>75*4</f>
        <v>300</v>
      </c>
      <c r="F65" s="80" t="s">
        <v>70</v>
      </c>
      <c r="G65" s="32">
        <f t="shared" si="20"/>
        <v>3000</v>
      </c>
      <c r="H65" s="32">
        <f t="shared" si="21"/>
        <v>3000</v>
      </c>
      <c r="I65" s="32">
        <f t="shared" si="24"/>
        <v>740</v>
      </c>
      <c r="J65" s="80"/>
      <c r="K65" s="32">
        <f t="shared" si="22"/>
        <v>36000</v>
      </c>
      <c r="L65" s="32">
        <f t="shared" si="23"/>
        <v>36000</v>
      </c>
      <c r="M65" s="32">
        <f t="shared" si="23"/>
        <v>36000</v>
      </c>
    </row>
    <row r="66" spans="1:14" x14ac:dyDescent="0.25">
      <c r="A66" s="80" t="s">
        <v>122</v>
      </c>
      <c r="B66" s="9" t="s">
        <v>171</v>
      </c>
      <c r="C66" s="62">
        <f>C32*18</f>
        <v>90</v>
      </c>
      <c r="D66" s="80" t="s">
        <v>153</v>
      </c>
      <c r="E66" s="32">
        <v>20</v>
      </c>
      <c r="F66" s="80" t="s">
        <v>70</v>
      </c>
      <c r="G66" s="32">
        <f t="shared" si="20"/>
        <v>1800</v>
      </c>
      <c r="H66" s="32">
        <f t="shared" si="21"/>
        <v>1800</v>
      </c>
      <c r="I66" s="32">
        <f t="shared" si="24"/>
        <v>300</v>
      </c>
      <c r="J66" s="80"/>
      <c r="K66" s="32">
        <f t="shared" si="22"/>
        <v>21600</v>
      </c>
      <c r="L66" s="32">
        <f t="shared" si="23"/>
        <v>21600</v>
      </c>
      <c r="M66" s="32">
        <f t="shared" si="23"/>
        <v>21600</v>
      </c>
    </row>
    <row r="67" spans="1:14" x14ac:dyDescent="0.25">
      <c r="A67" s="80" t="s">
        <v>123</v>
      </c>
      <c r="B67" s="9" t="s">
        <v>161</v>
      </c>
      <c r="C67" s="62">
        <f>C33*150</f>
        <v>450</v>
      </c>
      <c r="D67" s="80" t="s">
        <v>153</v>
      </c>
      <c r="E67" s="82">
        <v>2.5</v>
      </c>
      <c r="F67" s="80" t="s">
        <v>70</v>
      </c>
      <c r="G67" s="32">
        <f t="shared" si="20"/>
        <v>1125</v>
      </c>
      <c r="H67" s="32">
        <f t="shared" si="21"/>
        <v>1125</v>
      </c>
      <c r="I67" s="32">
        <f t="shared" si="24"/>
        <v>225</v>
      </c>
      <c r="J67" s="80"/>
      <c r="K67" s="32">
        <f t="shared" si="22"/>
        <v>13500</v>
      </c>
      <c r="L67" s="32">
        <f t="shared" si="23"/>
        <v>13500</v>
      </c>
      <c r="M67" s="32">
        <f t="shared" si="23"/>
        <v>13500</v>
      </c>
    </row>
    <row r="68" spans="1:14" s="85" customFormat="1" x14ac:dyDescent="0.25">
      <c r="A68" s="84" t="s">
        <v>124</v>
      </c>
      <c r="B68" s="85" t="s">
        <v>93</v>
      </c>
      <c r="C68" s="89">
        <f>C35</f>
        <v>5</v>
      </c>
      <c r="D68" s="84" t="s">
        <v>155</v>
      </c>
      <c r="E68" s="87">
        <f>E35+50</f>
        <v>350</v>
      </c>
      <c r="F68" s="84" t="s">
        <v>70</v>
      </c>
      <c r="G68" s="87">
        <f t="shared" si="20"/>
        <v>1750</v>
      </c>
      <c r="H68" s="87">
        <f t="shared" si="21"/>
        <v>1750</v>
      </c>
      <c r="I68" s="87">
        <f>H68-H35</f>
        <v>250</v>
      </c>
      <c r="J68" s="84"/>
      <c r="K68" s="87">
        <f>H68*$M$5</f>
        <v>21000</v>
      </c>
      <c r="L68" s="87">
        <f t="shared" si="23"/>
        <v>21000</v>
      </c>
      <c r="M68" s="87">
        <f t="shared" si="23"/>
        <v>21000</v>
      </c>
      <c r="N68" s="88" t="s">
        <v>133</v>
      </c>
    </row>
    <row r="69" spans="1:14" s="85" customFormat="1" x14ac:dyDescent="0.25">
      <c r="A69" s="84" t="s">
        <v>138</v>
      </c>
      <c r="B69" s="85" t="s">
        <v>94</v>
      </c>
      <c r="C69" s="89">
        <f>C36</f>
        <v>5</v>
      </c>
      <c r="D69" s="84" t="s">
        <v>155</v>
      </c>
      <c r="E69" s="87">
        <v>100</v>
      </c>
      <c r="F69" s="84" t="s">
        <v>70</v>
      </c>
      <c r="G69" s="87">
        <f t="shared" si="20"/>
        <v>500</v>
      </c>
      <c r="H69" s="87">
        <f t="shared" si="21"/>
        <v>500</v>
      </c>
      <c r="I69" s="87">
        <f>H69-H36</f>
        <v>50</v>
      </c>
      <c r="J69" s="84"/>
      <c r="K69" s="87">
        <f>H69*$M$5</f>
        <v>6000</v>
      </c>
      <c r="L69" s="87">
        <f>K69</f>
        <v>6000</v>
      </c>
      <c r="M69" s="87">
        <f>L69</f>
        <v>6000</v>
      </c>
      <c r="N69" s="88" t="s">
        <v>134</v>
      </c>
    </row>
    <row r="70" spans="1:14" x14ac:dyDescent="0.25">
      <c r="A70" s="80" t="s">
        <v>199</v>
      </c>
      <c r="B70" s="9" t="s">
        <v>135</v>
      </c>
      <c r="C70" s="80">
        <f>C37*20</f>
        <v>240</v>
      </c>
      <c r="D70" s="81" t="s">
        <v>145</v>
      </c>
      <c r="E70" s="32">
        <v>25</v>
      </c>
      <c r="F70" s="80" t="s">
        <v>70</v>
      </c>
      <c r="G70" s="32">
        <f t="shared" si="20"/>
        <v>6000</v>
      </c>
      <c r="H70" s="32">
        <f t="shared" si="21"/>
        <v>6000</v>
      </c>
      <c r="I70" s="32">
        <f t="shared" si="24"/>
        <v>5550</v>
      </c>
      <c r="J70" s="80"/>
      <c r="K70" s="32">
        <f t="shared" ref="K70" si="25">H70*$M$5</f>
        <v>72000</v>
      </c>
      <c r="L70" s="32">
        <f>K70</f>
        <v>72000</v>
      </c>
      <c r="M70" s="32">
        <f>L70</f>
        <v>72000</v>
      </c>
      <c r="N70" s="53" t="s">
        <v>178</v>
      </c>
    </row>
    <row r="71" spans="1:14" x14ac:dyDescent="0.25">
      <c r="A71" s="80" t="s">
        <v>200</v>
      </c>
      <c r="B71" s="9" t="s">
        <v>181</v>
      </c>
      <c r="C71" s="80">
        <f>C39</f>
        <v>12</v>
      </c>
      <c r="D71" s="81" t="s">
        <v>153</v>
      </c>
      <c r="E71" s="32">
        <v>150</v>
      </c>
      <c r="F71" s="80" t="s">
        <v>70</v>
      </c>
      <c r="G71" s="32">
        <f t="shared" si="20"/>
        <v>1800</v>
      </c>
      <c r="H71" s="32">
        <f t="shared" si="21"/>
        <v>1800</v>
      </c>
      <c r="I71" s="32">
        <f t="shared" ref="I71:I75" si="26">H71-H38</f>
        <v>1800</v>
      </c>
      <c r="J71" s="80"/>
      <c r="K71" s="32">
        <f>H71*$M$5</f>
        <v>21600</v>
      </c>
      <c r="L71" s="32">
        <f t="shared" ref="L71:M75" si="27">K71</f>
        <v>21600</v>
      </c>
      <c r="M71" s="32">
        <f t="shared" si="27"/>
        <v>21600</v>
      </c>
    </row>
    <row r="72" spans="1:14" x14ac:dyDescent="0.25">
      <c r="A72" s="80" t="s">
        <v>201</v>
      </c>
      <c r="B72" s="9" t="s">
        <v>180</v>
      </c>
      <c r="C72" s="80">
        <v>10</v>
      </c>
      <c r="D72" s="81" t="s">
        <v>153</v>
      </c>
      <c r="E72" s="32">
        <v>250</v>
      </c>
      <c r="F72" s="80" t="s">
        <v>70</v>
      </c>
      <c r="G72" s="32">
        <f t="shared" si="20"/>
        <v>2500</v>
      </c>
      <c r="H72" s="32">
        <f t="shared" si="21"/>
        <v>2500</v>
      </c>
      <c r="I72" s="32">
        <f t="shared" si="26"/>
        <v>1120</v>
      </c>
      <c r="J72" s="80"/>
      <c r="K72" s="32">
        <f>H72*$M$5</f>
        <v>30000</v>
      </c>
      <c r="L72" s="32">
        <f t="shared" si="27"/>
        <v>30000</v>
      </c>
      <c r="M72" s="32">
        <f t="shared" si="27"/>
        <v>30000</v>
      </c>
      <c r="N72" s="53" t="s">
        <v>144</v>
      </c>
    </row>
    <row r="73" spans="1:14" x14ac:dyDescent="0.25">
      <c r="A73" s="80" t="s">
        <v>202</v>
      </c>
      <c r="B73" s="9" t="s">
        <v>98</v>
      </c>
      <c r="C73" s="80">
        <f t="shared" ref="C73:C75" si="28">C41</f>
        <v>12</v>
      </c>
      <c r="D73" s="81" t="s">
        <v>153</v>
      </c>
      <c r="E73" s="32">
        <v>250</v>
      </c>
      <c r="F73" s="80" t="s">
        <v>70</v>
      </c>
      <c r="G73" s="32">
        <f t="shared" si="20"/>
        <v>3000</v>
      </c>
      <c r="H73" s="32">
        <f t="shared" si="21"/>
        <v>3000</v>
      </c>
      <c r="I73" s="32">
        <f t="shared" si="26"/>
        <v>1200</v>
      </c>
      <c r="J73" s="80"/>
      <c r="K73" s="32">
        <f>H73*$M$5</f>
        <v>36000</v>
      </c>
      <c r="L73" s="32">
        <f t="shared" si="27"/>
        <v>36000</v>
      </c>
      <c r="M73" s="32">
        <f t="shared" si="27"/>
        <v>36000</v>
      </c>
    </row>
    <row r="74" spans="1:14" x14ac:dyDescent="0.25">
      <c r="A74" s="80" t="s">
        <v>203</v>
      </c>
      <c r="B74" s="9" t="s">
        <v>99</v>
      </c>
      <c r="C74" s="80">
        <f t="shared" si="28"/>
        <v>12</v>
      </c>
      <c r="D74" s="81" t="s">
        <v>153</v>
      </c>
      <c r="E74" s="32">
        <v>150</v>
      </c>
      <c r="F74" s="80" t="s">
        <v>70</v>
      </c>
      <c r="G74" s="32">
        <f t="shared" si="20"/>
        <v>1800</v>
      </c>
      <c r="H74" s="32">
        <f t="shared" si="21"/>
        <v>1800</v>
      </c>
      <c r="I74" s="32">
        <f t="shared" si="26"/>
        <v>300</v>
      </c>
      <c r="J74" s="80"/>
      <c r="K74" s="32">
        <f>H74*$M$5</f>
        <v>21600</v>
      </c>
      <c r="L74" s="32">
        <f t="shared" si="27"/>
        <v>21600</v>
      </c>
      <c r="M74" s="32">
        <f t="shared" si="27"/>
        <v>21600</v>
      </c>
    </row>
    <row r="75" spans="1:14" x14ac:dyDescent="0.25">
      <c r="A75" s="80" t="s">
        <v>204</v>
      </c>
      <c r="B75" s="9" t="s">
        <v>179</v>
      </c>
      <c r="C75" s="80">
        <f t="shared" si="28"/>
        <v>5</v>
      </c>
      <c r="D75" s="81" t="s">
        <v>153</v>
      </c>
      <c r="E75" s="32">
        <v>270</v>
      </c>
      <c r="F75" s="80" t="s">
        <v>70</v>
      </c>
      <c r="G75" s="32">
        <f t="shared" si="20"/>
        <v>1350</v>
      </c>
      <c r="H75" s="32">
        <f t="shared" si="21"/>
        <v>1350</v>
      </c>
      <c r="I75" s="32">
        <f t="shared" si="26"/>
        <v>30</v>
      </c>
      <c r="J75" s="80"/>
      <c r="K75" s="32">
        <f t="shared" ref="K75" si="29">H75*$M$5</f>
        <v>16200</v>
      </c>
      <c r="L75" s="32">
        <f t="shared" si="27"/>
        <v>16200</v>
      </c>
      <c r="M75" s="32">
        <f t="shared" si="27"/>
        <v>16200</v>
      </c>
    </row>
    <row r="76" spans="1:14" x14ac:dyDescent="0.25">
      <c r="A76" s="80"/>
      <c r="C76" s="80"/>
      <c r="D76" s="80"/>
      <c r="E76" s="80"/>
      <c r="F76" s="80"/>
      <c r="G76" s="32"/>
      <c r="H76" s="32"/>
      <c r="I76" s="32"/>
      <c r="J76" s="80"/>
      <c r="K76" s="32"/>
      <c r="L76" s="32"/>
      <c r="M76" s="32"/>
    </row>
    <row r="77" spans="1:14" s="7" customFormat="1" x14ac:dyDescent="0.25">
      <c r="A77" s="79" t="s">
        <v>12</v>
      </c>
      <c r="B77" s="136" t="s">
        <v>0</v>
      </c>
      <c r="C77" s="136"/>
      <c r="D77" s="136"/>
      <c r="E77" s="136"/>
      <c r="F77" s="136"/>
      <c r="G77" s="31"/>
      <c r="H77" s="31">
        <f>SUM(H52:H76)</f>
        <v>130885</v>
      </c>
      <c r="I77" s="31"/>
      <c r="J77" s="8"/>
      <c r="K77" s="31">
        <f>SUM(K52:K75)</f>
        <v>1570620</v>
      </c>
      <c r="L77" s="31">
        <f>SUM(L52:L75)</f>
        <v>1570620</v>
      </c>
      <c r="M77" s="31">
        <f>SUM(M52:M75)</f>
        <v>1570620</v>
      </c>
      <c r="N77" s="57"/>
    </row>
    <row r="78" spans="1:14" x14ac:dyDescent="0.25">
      <c r="J78" s="80"/>
    </row>
    <row r="79" spans="1:14" ht="18.75" x14ac:dyDescent="0.25">
      <c r="A79" s="137" t="s">
        <v>50</v>
      </c>
      <c r="B79" s="137"/>
      <c r="C79" s="137"/>
      <c r="D79" s="137"/>
      <c r="E79" s="137"/>
      <c r="F79" s="137"/>
      <c r="G79" s="137"/>
      <c r="H79" s="78"/>
      <c r="I79" s="78"/>
      <c r="J79" s="80"/>
      <c r="K79" s="34" t="s">
        <v>57</v>
      </c>
      <c r="L79" s="34" t="s">
        <v>56</v>
      </c>
      <c r="M79" s="34" t="s">
        <v>58</v>
      </c>
      <c r="N79" s="54"/>
    </row>
    <row r="80" spans="1:14" x14ac:dyDescent="0.25">
      <c r="A80" s="8" t="s">
        <v>7</v>
      </c>
      <c r="B80" s="150" t="s">
        <v>28</v>
      </c>
      <c r="C80" s="150"/>
      <c r="D80" s="150"/>
      <c r="E80" s="150"/>
      <c r="F80" s="150"/>
      <c r="G80" s="32"/>
      <c r="H80" s="32">
        <f>H47</f>
        <v>108321.66666666666</v>
      </c>
      <c r="I80" s="32"/>
      <c r="J80" s="80"/>
      <c r="K80" s="32">
        <f>K47</f>
        <v>1299860</v>
      </c>
      <c r="L80" s="32">
        <f>L47</f>
        <v>1299860</v>
      </c>
      <c r="M80" s="32">
        <f>M47</f>
        <v>1299860</v>
      </c>
    </row>
    <row r="81" spans="1:17" x14ac:dyDescent="0.25">
      <c r="A81" s="8" t="s">
        <v>12</v>
      </c>
      <c r="B81" s="150" t="s">
        <v>51</v>
      </c>
      <c r="C81" s="150"/>
      <c r="D81" s="150"/>
      <c r="E81" s="150"/>
      <c r="F81" s="150"/>
      <c r="G81" s="32"/>
      <c r="H81" s="32">
        <f>H77</f>
        <v>130885</v>
      </c>
      <c r="I81" s="32"/>
      <c r="J81" s="80"/>
      <c r="K81" s="32">
        <f>K77</f>
        <v>1570620</v>
      </c>
      <c r="L81" s="32">
        <f>L77</f>
        <v>1570620</v>
      </c>
      <c r="M81" s="32">
        <f>M77</f>
        <v>1570620</v>
      </c>
    </row>
    <row r="82" spans="1:17" s="7" customFormat="1" x14ac:dyDescent="0.25">
      <c r="A82" s="20"/>
      <c r="B82" s="149" t="s">
        <v>67</v>
      </c>
      <c r="C82" s="149"/>
      <c r="D82" s="149"/>
      <c r="E82" s="149"/>
      <c r="F82" s="149"/>
      <c r="G82" s="31"/>
      <c r="H82" s="31">
        <f>H81-H80</f>
        <v>22563.333333333343</v>
      </c>
      <c r="I82" s="31"/>
      <c r="J82" s="8"/>
      <c r="K82" s="31">
        <f>K81-K80</f>
        <v>270760</v>
      </c>
      <c r="L82" s="31">
        <f>L81-L80</f>
        <v>270760</v>
      </c>
      <c r="M82" s="31">
        <f>M81-M80</f>
        <v>270760</v>
      </c>
      <c r="N82" s="57"/>
    </row>
    <row r="83" spans="1:17" x14ac:dyDescent="0.25">
      <c r="A83" s="43" t="s">
        <v>9</v>
      </c>
      <c r="B83" s="151" t="s">
        <v>33</v>
      </c>
      <c r="C83" s="151"/>
      <c r="D83" s="151"/>
      <c r="E83" s="151"/>
      <c r="F83" s="151"/>
      <c r="G83" s="44"/>
      <c r="H83" s="44"/>
      <c r="I83" s="44"/>
      <c r="J83" s="80"/>
      <c r="K83" s="32"/>
      <c r="L83" s="44">
        <f>'Info general'!H23</f>
        <v>1355</v>
      </c>
      <c r="M83" s="44">
        <f>'Info general'!H23</f>
        <v>1355</v>
      </c>
      <c r="N83" s="58"/>
    </row>
    <row r="84" spans="1:17" s="7" customFormat="1" x14ac:dyDescent="0.25">
      <c r="A84" s="20"/>
      <c r="B84" s="149" t="s">
        <v>68</v>
      </c>
      <c r="C84" s="149"/>
      <c r="D84" s="149"/>
      <c r="E84" s="149"/>
      <c r="F84" s="149"/>
      <c r="G84" s="31"/>
      <c r="H84" s="31"/>
      <c r="I84" s="31"/>
      <c r="J84" s="8"/>
      <c r="K84" s="31">
        <f>K82-K83</f>
        <v>270760</v>
      </c>
      <c r="L84" s="31">
        <f t="shared" ref="L84:M84" si="30">L82-L83</f>
        <v>269405</v>
      </c>
      <c r="M84" s="31">
        <f t="shared" si="30"/>
        <v>269405</v>
      </c>
      <c r="N84" s="57"/>
    </row>
    <row r="85" spans="1:17" x14ac:dyDescent="0.25">
      <c r="A85" s="3"/>
      <c r="B85" s="3"/>
      <c r="C85" s="3"/>
      <c r="D85" s="3"/>
      <c r="E85" s="3"/>
      <c r="J85" s="80"/>
      <c r="O85" s="46"/>
      <c r="Q85" s="47"/>
    </row>
    <row r="86" spans="1:17" ht="18.75" x14ac:dyDescent="0.25">
      <c r="A86" s="137" t="s">
        <v>71</v>
      </c>
      <c r="B86" s="137"/>
      <c r="C86" s="137"/>
      <c r="D86" s="137"/>
      <c r="E86" s="137"/>
      <c r="F86" s="137"/>
      <c r="G86" s="137"/>
      <c r="H86" s="78"/>
      <c r="I86" s="78"/>
      <c r="J86" s="80"/>
      <c r="O86" s="2"/>
      <c r="Q86" s="47"/>
    </row>
    <row r="87" spans="1:17" x14ac:dyDescent="0.25">
      <c r="A87" s="8"/>
      <c r="B87" s="9" t="s">
        <v>72</v>
      </c>
      <c r="H87" s="32">
        <f>'Info general'!F23</f>
        <v>16100</v>
      </c>
      <c r="I87" s="32"/>
      <c r="J87" s="80"/>
      <c r="K87" s="37"/>
      <c r="L87" s="37"/>
      <c r="M87" s="37"/>
      <c r="N87" s="59"/>
      <c r="O87" s="46"/>
    </row>
    <row r="88" spans="1:17" x14ac:dyDescent="0.25">
      <c r="A88" s="8"/>
      <c r="B88" s="9" t="s">
        <v>73</v>
      </c>
      <c r="H88" s="32">
        <f>SUM(G16:G21)+SUM(H23:H46)/2+SUM(H10:H13)</f>
        <v>51520</v>
      </c>
      <c r="I88" s="32"/>
      <c r="J88" s="80"/>
      <c r="K88" s="37"/>
      <c r="L88" s="37"/>
      <c r="M88" s="37"/>
      <c r="N88" s="59"/>
    </row>
    <row r="89" spans="1:17" x14ac:dyDescent="0.25">
      <c r="A89" s="76"/>
      <c r="B89" s="77" t="s">
        <v>126</v>
      </c>
      <c r="C89" s="77"/>
      <c r="D89" s="77"/>
      <c r="E89" s="77"/>
      <c r="F89" s="77"/>
      <c r="G89" s="77"/>
      <c r="H89" s="49">
        <f>85000-H87-H88</f>
        <v>17380</v>
      </c>
      <c r="I89" s="49"/>
      <c r="J89" s="80"/>
      <c r="K89" s="37"/>
      <c r="L89" s="37"/>
      <c r="M89" s="37"/>
      <c r="N89" s="59"/>
    </row>
    <row r="90" spans="1:17" x14ac:dyDescent="0.25">
      <c r="A90" s="8"/>
      <c r="B90" s="9" t="s">
        <v>74</v>
      </c>
      <c r="H90" s="32">
        <v>1</v>
      </c>
      <c r="I90" s="32"/>
      <c r="J90" s="80"/>
      <c r="K90" s="37"/>
      <c r="L90" s="37"/>
      <c r="M90" s="37"/>
      <c r="N90" s="59"/>
    </row>
    <row r="91" spans="1:17" x14ac:dyDescent="0.25">
      <c r="A91" s="20"/>
      <c r="B91" s="149" t="s">
        <v>75</v>
      </c>
      <c r="C91" s="149"/>
      <c r="D91" s="149"/>
      <c r="E91" s="149"/>
      <c r="F91" s="149"/>
      <c r="G91" s="31"/>
      <c r="H91" s="31">
        <f>H87+(H88*H90)+H89</f>
        <v>85000</v>
      </c>
      <c r="I91" s="31"/>
      <c r="J91" s="80"/>
      <c r="K91" s="37"/>
      <c r="L91" s="37"/>
      <c r="M91" s="37"/>
      <c r="N91" s="59"/>
    </row>
    <row r="92" spans="1:17" x14ac:dyDescent="0.25">
      <c r="G92" s="45"/>
      <c r="J92" s="80"/>
    </row>
    <row r="93" spans="1:17" x14ac:dyDescent="0.25">
      <c r="J93" s="80"/>
    </row>
    <row r="94" spans="1:17" x14ac:dyDescent="0.25">
      <c r="B94" s="47"/>
      <c r="C94" s="47"/>
      <c r="J94" s="80"/>
    </row>
    <row r="95" spans="1:17" x14ac:dyDescent="0.25">
      <c r="J95" s="80"/>
    </row>
    <row r="96" spans="1:17" x14ac:dyDescent="0.25">
      <c r="B96" s="47"/>
      <c r="J96" s="80"/>
    </row>
    <row r="97" spans="1:10" x14ac:dyDescent="0.25">
      <c r="J97" s="80"/>
    </row>
    <row r="98" spans="1:10" x14ac:dyDescent="0.25">
      <c r="J98" s="80"/>
    </row>
    <row r="99" spans="1:10" x14ac:dyDescent="0.25">
      <c r="J99" s="80"/>
    </row>
    <row r="100" spans="1:10" x14ac:dyDescent="0.25">
      <c r="J100" s="80"/>
    </row>
    <row r="101" spans="1:10" x14ac:dyDescent="0.25">
      <c r="J101" s="80"/>
    </row>
    <row r="102" spans="1:10" x14ac:dyDescent="0.25">
      <c r="J102" s="80"/>
    </row>
    <row r="103" spans="1:10" x14ac:dyDescent="0.25">
      <c r="J103" s="80"/>
    </row>
    <row r="104" spans="1:10" x14ac:dyDescent="0.25">
      <c r="J104" s="80"/>
    </row>
    <row r="105" spans="1:10" x14ac:dyDescent="0.25">
      <c r="A105" s="11"/>
      <c r="B105" s="11"/>
      <c r="J105" s="80"/>
    </row>
    <row r="106" spans="1:10" x14ac:dyDescent="0.25">
      <c r="A106" s="11"/>
      <c r="B106" s="11"/>
      <c r="J106" s="80"/>
    </row>
    <row r="107" spans="1:10" x14ac:dyDescent="0.25">
      <c r="A107" s="11"/>
      <c r="B107" s="11"/>
      <c r="J107" s="80"/>
    </row>
    <row r="108" spans="1:10" x14ac:dyDescent="0.25">
      <c r="A108" s="11"/>
      <c r="B108" s="11"/>
      <c r="J108" s="80"/>
    </row>
    <row r="109" spans="1:10" x14ac:dyDescent="0.25">
      <c r="A109" s="11"/>
      <c r="B109" s="11"/>
      <c r="J109" s="80"/>
    </row>
    <row r="110" spans="1:10" x14ac:dyDescent="0.25">
      <c r="B110" s="11"/>
      <c r="J110" s="80"/>
    </row>
    <row r="111" spans="1:10" x14ac:dyDescent="0.25">
      <c r="J111" s="80"/>
    </row>
    <row r="112" spans="1:10" x14ac:dyDescent="0.25">
      <c r="J112" s="80"/>
    </row>
    <row r="113" spans="10:10" x14ac:dyDescent="0.25">
      <c r="J113" s="80"/>
    </row>
    <row r="114" spans="10:10" x14ac:dyDescent="0.25">
      <c r="J114" s="80"/>
    </row>
    <row r="115" spans="10:10" x14ac:dyDescent="0.25">
      <c r="J115" s="80"/>
    </row>
    <row r="116" spans="10:10" x14ac:dyDescent="0.25">
      <c r="J116" s="80"/>
    </row>
    <row r="117" spans="10:10" x14ac:dyDescent="0.25">
      <c r="J117" s="80"/>
    </row>
  </sheetData>
  <mergeCells count="14">
    <mergeCell ref="B77:F77"/>
    <mergeCell ref="A5:E5"/>
    <mergeCell ref="F5:G5"/>
    <mergeCell ref="A7:G7"/>
    <mergeCell ref="B47:F47"/>
    <mergeCell ref="A49:G49"/>
    <mergeCell ref="A86:G86"/>
    <mergeCell ref="B91:F91"/>
    <mergeCell ref="A79:G79"/>
    <mergeCell ref="B80:F80"/>
    <mergeCell ref="B81:F81"/>
    <mergeCell ref="B82:F82"/>
    <mergeCell ref="B83:F83"/>
    <mergeCell ref="B84:F8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963B83-D540-4134-BEE0-78FAB9263C49}">
          <x14:formula1>
            <xm:f>'Info general'!$J$7:$J$15</xm:f>
          </x14:formula1>
          <xm:sqref>F5:G5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98D05-9E20-46AD-8BDE-E632C6985E08}">
  <sheetPr>
    <pageSetUpPr fitToPage="1"/>
  </sheetPr>
  <dimension ref="A1:I92"/>
  <sheetViews>
    <sheetView topLeftCell="A51" zoomScale="85" zoomScaleNormal="85" workbookViewId="0">
      <selection activeCell="F60" sqref="F60"/>
    </sheetView>
  </sheetViews>
  <sheetFormatPr baseColWidth="10" defaultColWidth="10.85546875" defaultRowHeight="15" x14ac:dyDescent="0.25"/>
  <cols>
    <col min="1" max="1" width="46.5703125" style="107" customWidth="1"/>
    <col min="2" max="5" width="15.7109375" style="9" customWidth="1"/>
    <col min="6" max="6" width="31.42578125" style="71" customWidth="1"/>
    <col min="7" max="7" width="19.7109375" style="9" customWidth="1"/>
    <col min="8" max="16384" width="10.85546875" style="9"/>
  </cols>
  <sheetData>
    <row r="1" spans="1:8" ht="28.5" x14ac:dyDescent="0.25">
      <c r="A1" s="26" t="s">
        <v>243</v>
      </c>
      <c r="B1" s="5"/>
      <c r="C1" s="5"/>
      <c r="E1" s="91"/>
    </row>
    <row r="2" spans="1:8" x14ac:dyDescent="0.25">
      <c r="A2" s="1"/>
      <c r="B2" s="5"/>
      <c r="C2" s="5"/>
      <c r="E2" s="91"/>
    </row>
    <row r="3" spans="1:8" ht="18.75" x14ac:dyDescent="0.25">
      <c r="A3" s="27" t="s">
        <v>209</v>
      </c>
      <c r="E3" s="91"/>
    </row>
    <row r="4" spans="1:8" x14ac:dyDescent="0.25">
      <c r="A4" s="108"/>
      <c r="E4" s="91"/>
    </row>
    <row r="5" spans="1:8" ht="18.75" customHeight="1" x14ac:dyDescent="0.25">
      <c r="A5" s="122" t="s">
        <v>229</v>
      </c>
      <c r="B5" s="122"/>
      <c r="C5" s="122"/>
      <c r="D5" s="122"/>
      <c r="E5" s="122"/>
      <c r="F5" s="74"/>
      <c r="G5" s="39"/>
      <c r="H5" s="2"/>
    </row>
    <row r="6" spans="1:8" ht="18.75" customHeight="1" x14ac:dyDescent="0.25">
      <c r="A6" s="109"/>
      <c r="B6" s="14"/>
      <c r="C6" s="14"/>
      <c r="D6" s="14"/>
      <c r="E6" s="14"/>
      <c r="F6" s="72"/>
      <c r="G6" s="39"/>
      <c r="H6" s="2"/>
    </row>
    <row r="7" spans="1:8" ht="30" customHeight="1" x14ac:dyDescent="0.25">
      <c r="A7" s="114" t="s">
        <v>210</v>
      </c>
      <c r="B7" s="152" t="str">
        <f>'Info general'!C7</f>
        <v>Boutique / magasin de produits diverses, notamment produits alimentaires (denrées alimentaires de base, poisson et légumes), produits d’hygiène, habilles et vente de gaz et charbon.</v>
      </c>
      <c r="C7" s="153"/>
      <c r="D7" s="153"/>
      <c r="E7" s="153"/>
      <c r="F7" s="154"/>
      <c r="G7" s="39"/>
    </row>
    <row r="8" spans="1:8" ht="18" customHeight="1" x14ac:dyDescent="0.25">
      <c r="A8" s="114" t="s">
        <v>242</v>
      </c>
      <c r="B8" s="155" t="str">
        <f>'Info general'!C8</f>
        <v>Club de mères - Rdeidiaa</v>
      </c>
      <c r="C8" s="156"/>
      <c r="D8" s="156"/>
      <c r="E8" s="156"/>
      <c r="F8" s="157"/>
      <c r="G8" s="39"/>
    </row>
    <row r="9" spans="1:8" s="3" customFormat="1" x14ac:dyDescent="0.25">
      <c r="A9" s="115" t="s">
        <v>37</v>
      </c>
      <c r="B9" s="92">
        <v>85000</v>
      </c>
      <c r="C9" s="116"/>
      <c r="D9" s="29"/>
      <c r="E9" s="29"/>
      <c r="F9" s="13"/>
      <c r="G9" s="39"/>
    </row>
    <row r="10" spans="1:8" s="3" customFormat="1" ht="15.75" x14ac:dyDescent="0.25">
      <c r="A10" s="110"/>
      <c r="B10" s="93"/>
      <c r="C10" s="93"/>
      <c r="D10" s="93"/>
      <c r="E10" s="93"/>
      <c r="F10" s="93"/>
      <c r="G10" s="39"/>
    </row>
    <row r="11" spans="1:8" ht="18.75" x14ac:dyDescent="0.25">
      <c r="A11" s="121" t="s">
        <v>223</v>
      </c>
      <c r="B11" s="90"/>
      <c r="C11" s="90"/>
      <c r="D11" s="90"/>
      <c r="E11" s="90"/>
      <c r="F11" s="74"/>
      <c r="G11" s="38"/>
    </row>
    <row r="12" spans="1:8" ht="14.45" customHeight="1" x14ac:dyDescent="0.25">
      <c r="A12" s="111" t="s">
        <v>2</v>
      </c>
      <c r="B12" s="6" t="s">
        <v>49</v>
      </c>
      <c r="C12" s="6" t="s">
        <v>3</v>
      </c>
      <c r="D12" s="6" t="s">
        <v>225</v>
      </c>
      <c r="E12" s="6" t="s">
        <v>224</v>
      </c>
      <c r="F12" s="123" t="s">
        <v>226</v>
      </c>
    </row>
    <row r="13" spans="1:8" x14ac:dyDescent="0.25">
      <c r="A13" s="106" t="str">
        <f>'Info general'!B17</f>
        <v>Equipment (balance, nattes, chaises)</v>
      </c>
      <c r="B13" s="81">
        <f>'Info general'!C17</f>
        <v>1</v>
      </c>
      <c r="C13" s="91" t="s">
        <v>153</v>
      </c>
      <c r="D13" s="32">
        <f>'Info general'!E17</f>
        <v>2900</v>
      </c>
      <c r="E13" s="32">
        <f t="shared" ref="E13:E16" si="0">B13*D13</f>
        <v>2900</v>
      </c>
      <c r="F13" s="53" t="s">
        <v>227</v>
      </c>
      <c r="G13" s="2"/>
    </row>
    <row r="14" spans="1:8" x14ac:dyDescent="0.25">
      <c r="A14" s="106" t="str">
        <f>'Info general'!B18</f>
        <v>Thermo 24 litres</v>
      </c>
      <c r="B14" s="81">
        <f>'Info general'!C18</f>
        <v>2</v>
      </c>
      <c r="C14" s="91" t="s">
        <v>153</v>
      </c>
      <c r="D14" s="32">
        <f>'Info general'!E18</f>
        <v>2200</v>
      </c>
      <c r="E14" s="32">
        <f t="shared" si="0"/>
        <v>4400</v>
      </c>
      <c r="F14" s="53" t="s">
        <v>227</v>
      </c>
      <c r="G14" s="2"/>
    </row>
    <row r="15" spans="1:8" x14ac:dyDescent="0.25">
      <c r="A15" s="106" t="str">
        <f>'Info general'!B19</f>
        <v>Bouteille gaz 12 l.</v>
      </c>
      <c r="B15" s="81">
        <f>'Info general'!C19</f>
        <v>5</v>
      </c>
      <c r="C15" s="91" t="s">
        <v>153</v>
      </c>
      <c r="D15" s="32">
        <f>'Info general'!E19</f>
        <v>850</v>
      </c>
      <c r="E15" s="32">
        <f t="shared" si="0"/>
        <v>4250</v>
      </c>
      <c r="F15" s="53" t="s">
        <v>227</v>
      </c>
      <c r="G15" s="2"/>
    </row>
    <row r="16" spans="1:8" x14ac:dyDescent="0.25">
      <c r="A16" s="106" t="str">
        <f>'Info general'!B20</f>
        <v>Bouteille gaz 3 l.</v>
      </c>
      <c r="B16" s="81">
        <f>'Info general'!C20</f>
        <v>5</v>
      </c>
      <c r="C16" s="91" t="s">
        <v>153</v>
      </c>
      <c r="D16" s="32">
        <f>'Info general'!E20</f>
        <v>400</v>
      </c>
      <c r="E16" s="32">
        <f t="shared" si="0"/>
        <v>2000</v>
      </c>
      <c r="F16" s="53" t="s">
        <v>227</v>
      </c>
      <c r="G16" s="2"/>
    </row>
    <row r="17" spans="1:7" ht="29.25" customHeight="1" x14ac:dyDescent="0.25">
      <c r="A17" s="106" t="str">
        <f>'Info general'!B21</f>
        <v>Forfait démarrage (transport matériels, visites fournisseurs, etc.)</v>
      </c>
      <c r="B17" s="81">
        <f>'Info general'!C21</f>
        <v>1</v>
      </c>
      <c r="C17" s="91" t="s">
        <v>153</v>
      </c>
      <c r="D17" s="32">
        <f>'Info general'!E21</f>
        <v>2550</v>
      </c>
      <c r="E17" s="32">
        <f>B17*D17</f>
        <v>2550</v>
      </c>
      <c r="F17" s="53" t="s">
        <v>227</v>
      </c>
      <c r="G17" s="2"/>
    </row>
    <row r="18" spans="1:7" x14ac:dyDescent="0.25">
      <c r="A18" s="106"/>
      <c r="B18" s="81"/>
      <c r="C18" s="91"/>
      <c r="D18" s="32"/>
      <c r="E18" s="32"/>
      <c r="F18" s="53"/>
      <c r="G18" s="2"/>
    </row>
    <row r="19" spans="1:7" s="120" customFormat="1" ht="15.75" x14ac:dyDescent="0.25">
      <c r="A19" s="117" t="s">
        <v>239</v>
      </c>
      <c r="B19" s="119"/>
      <c r="C19" s="119"/>
      <c r="D19" s="119"/>
      <c r="E19" s="118">
        <f>SUM(E13:E17)</f>
        <v>16100</v>
      </c>
      <c r="F19" s="126" t="s">
        <v>70</v>
      </c>
    </row>
    <row r="20" spans="1:7" s="95" customFormat="1" x14ac:dyDescent="0.25">
      <c r="A20" s="94"/>
      <c r="B20" s="91"/>
      <c r="D20" s="96"/>
      <c r="E20" s="96"/>
      <c r="F20" s="124"/>
    </row>
    <row r="21" spans="1:7" ht="18.75" x14ac:dyDescent="0.25">
      <c r="A21" s="121" t="s">
        <v>228</v>
      </c>
      <c r="B21" s="90"/>
      <c r="C21" s="90"/>
      <c r="D21" s="90"/>
      <c r="E21" s="90"/>
      <c r="F21" s="74"/>
      <c r="G21" s="38"/>
    </row>
    <row r="22" spans="1:7" ht="14.45" customHeight="1" x14ac:dyDescent="0.25">
      <c r="A22" s="111" t="s">
        <v>34</v>
      </c>
      <c r="B22" s="6" t="s">
        <v>49</v>
      </c>
      <c r="C22" s="6" t="s">
        <v>3</v>
      </c>
      <c r="D22" s="6" t="s">
        <v>225</v>
      </c>
      <c r="E22" s="6" t="s">
        <v>224</v>
      </c>
      <c r="F22" s="123" t="s">
        <v>226</v>
      </c>
    </row>
    <row r="23" spans="1:7" x14ac:dyDescent="0.25">
      <c r="A23" s="112" t="s">
        <v>5</v>
      </c>
      <c r="B23" s="19"/>
      <c r="C23" s="19"/>
      <c r="D23" s="24"/>
      <c r="E23" s="127">
        <f>E24</f>
        <v>2000</v>
      </c>
      <c r="F23" s="129" t="s">
        <v>211</v>
      </c>
      <c r="G23" s="2"/>
    </row>
    <row r="24" spans="1:7" x14ac:dyDescent="0.25">
      <c r="A24" s="107" t="str">
        <f>'Plan economique (PAS)'!B11</f>
        <v>Location boutique</v>
      </c>
      <c r="B24" s="91">
        <f>'Plan economique (PAS)'!C11</f>
        <v>1</v>
      </c>
      <c r="C24" s="91" t="str">
        <f>'Plan economique (PAS)'!D11</f>
        <v>loyer</v>
      </c>
      <c r="D24" s="32">
        <f>'Plan economique (PAS)'!E11</f>
        <v>2000</v>
      </c>
      <c r="E24" s="32">
        <f>B24*D24</f>
        <v>2000</v>
      </c>
      <c r="F24" s="53" t="s">
        <v>211</v>
      </c>
      <c r="G24" s="2"/>
    </row>
    <row r="25" spans="1:7" x14ac:dyDescent="0.25">
      <c r="B25" s="91"/>
      <c r="C25" s="91"/>
      <c r="D25" s="32"/>
      <c r="E25" s="32"/>
      <c r="F25" s="53"/>
      <c r="G25" s="29"/>
    </row>
    <row r="26" spans="1:7" x14ac:dyDescent="0.25">
      <c r="A26" s="22" t="s">
        <v>230</v>
      </c>
      <c r="B26" s="19"/>
      <c r="C26" s="19"/>
      <c r="D26" s="24"/>
      <c r="E26" s="127">
        <f>SUM(E27:E31)</f>
        <v>3210</v>
      </c>
      <c r="F26" s="128" t="s">
        <v>212</v>
      </c>
    </row>
    <row r="27" spans="1:7" x14ac:dyDescent="0.25">
      <c r="A27" s="107" t="str">
        <f>'Plan economique (PAS)'!B16</f>
        <v>Poisson</v>
      </c>
      <c r="B27" s="91">
        <f>'Plan economique (PAS)'!C16</f>
        <v>48</v>
      </c>
      <c r="C27" s="91" t="str">
        <f>'Plan economique (PAS)'!D16</f>
        <v>kg</v>
      </c>
      <c r="D27" s="32">
        <f>'Plan economique (PAS)'!E16</f>
        <v>20</v>
      </c>
      <c r="E27" s="32">
        <f>B27*D27</f>
        <v>960</v>
      </c>
      <c r="F27" s="83" t="s">
        <v>212</v>
      </c>
    </row>
    <row r="28" spans="1:7" x14ac:dyDescent="0.25">
      <c r="A28" s="107" t="str">
        <f>'Plan economique (PAS)'!B17</f>
        <v>Légumes</v>
      </c>
      <c r="B28" s="91">
        <f>'Plan economique (PAS)'!C17</f>
        <v>50</v>
      </c>
      <c r="C28" s="91" t="str">
        <f>'Plan economique (PAS)'!D17</f>
        <v>kg</v>
      </c>
      <c r="D28" s="32">
        <f>'Plan economique (PAS)'!E17</f>
        <v>20</v>
      </c>
      <c r="E28" s="32">
        <f t="shared" ref="E28:E42" si="1">B28*D28</f>
        <v>1000</v>
      </c>
      <c r="F28" s="83" t="s">
        <v>212</v>
      </c>
    </row>
    <row r="29" spans="1:7" x14ac:dyDescent="0.25">
      <c r="A29" s="107" t="str">
        <f>'Plan economique (PAS)'!B18</f>
        <v>Glace</v>
      </c>
      <c r="B29" s="91">
        <f>'Plan economique (PAS)'!C18</f>
        <v>1</v>
      </c>
      <c r="C29" s="91" t="str">
        <f>'Plan economique (PAS)'!D18</f>
        <v>sac</v>
      </c>
      <c r="D29" s="32">
        <f>'Plan economique (PAS)'!E18</f>
        <v>50</v>
      </c>
      <c r="E29" s="32">
        <f t="shared" si="1"/>
        <v>50</v>
      </c>
      <c r="F29" s="83" t="s">
        <v>212</v>
      </c>
    </row>
    <row r="30" spans="1:7" x14ac:dyDescent="0.25">
      <c r="A30" s="107" t="str">
        <f>'Plan economique (PAS)'!B19</f>
        <v>Transport poisson</v>
      </c>
      <c r="B30" s="91">
        <f>'Plan economique (PAS)'!C19</f>
        <v>1</v>
      </c>
      <c r="C30" s="91" t="str">
        <f>'Plan economique (PAS)'!D19</f>
        <v>transport</v>
      </c>
      <c r="D30" s="32">
        <f>'Plan economique (PAS)'!E19</f>
        <v>1200</v>
      </c>
      <c r="E30" s="32">
        <f t="shared" si="1"/>
        <v>1200</v>
      </c>
      <c r="F30" s="83" t="s">
        <v>212</v>
      </c>
    </row>
    <row r="31" spans="1:7" x14ac:dyDescent="0.25">
      <c r="B31" s="91"/>
      <c r="C31" s="91"/>
      <c r="D31" s="32"/>
      <c r="E31" s="32"/>
      <c r="F31" s="83"/>
    </row>
    <row r="32" spans="1:7" x14ac:dyDescent="0.25">
      <c r="A32" s="22" t="s">
        <v>231</v>
      </c>
      <c r="B32" s="19"/>
      <c r="C32" s="19"/>
      <c r="D32" s="24"/>
      <c r="E32" s="127">
        <f>SUM(E33:E45)</f>
        <v>52650</v>
      </c>
      <c r="F32" s="128"/>
    </row>
    <row r="33" spans="1:6" x14ac:dyDescent="0.25">
      <c r="A33" s="107" t="str">
        <f>'Plan economique (PAS)'!B23</f>
        <v>Denrées alimentaires - sucre</v>
      </c>
      <c r="B33" s="91">
        <f>ROUNDUP('Plan economique (PAS)'!C23/2,0)</f>
        <v>5</v>
      </c>
      <c r="C33" s="91" t="str">
        <f>'Plan economique (PAS)'!D23</f>
        <v>sac 50 kg</v>
      </c>
      <c r="D33" s="32">
        <f>'Plan economique (PAS)'!E23</f>
        <v>1100</v>
      </c>
      <c r="E33" s="32">
        <f t="shared" ref="E33" si="2">B33*D33</f>
        <v>5500</v>
      </c>
      <c r="F33" s="83" t="s">
        <v>213</v>
      </c>
    </row>
    <row r="34" spans="1:6" s="11" customFormat="1" x14ac:dyDescent="0.25">
      <c r="A34" s="107" t="str">
        <f>'Plan economique (PAS)'!B24</f>
        <v>Denrées alimentaires - huile</v>
      </c>
      <c r="B34" s="91">
        <v>5</v>
      </c>
      <c r="C34" s="91" t="str">
        <f>'Plan economique (PAS)'!D24</f>
        <v>20 litres</v>
      </c>
      <c r="D34" s="32">
        <f>'Plan economique (PAS)'!E24</f>
        <v>1000</v>
      </c>
      <c r="E34" s="32">
        <f t="shared" si="1"/>
        <v>5000</v>
      </c>
      <c r="F34" s="83" t="s">
        <v>212</v>
      </c>
    </row>
    <row r="35" spans="1:6" s="11" customFormat="1" x14ac:dyDescent="0.25">
      <c r="A35" s="107" t="str">
        <f>'Plan economique (PAS)'!B25</f>
        <v>Denrées alimentaires - pate</v>
      </c>
      <c r="B35" s="91">
        <f>ROUNDUP('Plan economique (PAS)'!C25/2,0)</f>
        <v>5</v>
      </c>
      <c r="C35" s="91" t="str">
        <f>'Plan economique (PAS)'!D25</f>
        <v>10 kg</v>
      </c>
      <c r="D35" s="32">
        <f>'Plan economique (PAS)'!E25</f>
        <v>290</v>
      </c>
      <c r="E35" s="32">
        <f t="shared" si="1"/>
        <v>1450</v>
      </c>
      <c r="F35" s="83" t="s">
        <v>213</v>
      </c>
    </row>
    <row r="36" spans="1:6" s="11" customFormat="1" x14ac:dyDescent="0.25">
      <c r="A36" s="107" t="str">
        <f>'Plan economique (PAS)'!B26</f>
        <v>Denrées alimentaires - riz</v>
      </c>
      <c r="B36" s="91">
        <v>16</v>
      </c>
      <c r="C36" s="91" t="str">
        <f>'Plan economique (PAS)'!D26</f>
        <v>sac 50 kg</v>
      </c>
      <c r="D36" s="32">
        <f>'Plan economique (PAS)'!E26</f>
        <v>1400</v>
      </c>
      <c r="E36" s="32">
        <f>B36*D36</f>
        <v>22400</v>
      </c>
      <c r="F36" s="83" t="s">
        <v>240</v>
      </c>
    </row>
    <row r="37" spans="1:6" s="11" customFormat="1" x14ac:dyDescent="0.25">
      <c r="A37" s="107" t="str">
        <f>'Plan economique (PAS)'!B27</f>
        <v>Denrées alimentaires - blé</v>
      </c>
      <c r="B37" s="91">
        <v>12</v>
      </c>
      <c r="C37" s="91" t="str">
        <f>'Plan economique (PAS)'!D27</f>
        <v>sac 50 kg</v>
      </c>
      <c r="D37" s="32">
        <f>'Plan economique (PAS)'!E27</f>
        <v>620</v>
      </c>
      <c r="E37" s="32">
        <f t="shared" si="1"/>
        <v>7440</v>
      </c>
      <c r="F37" s="83" t="s">
        <v>213</v>
      </c>
    </row>
    <row r="38" spans="1:6" s="11" customFormat="1" x14ac:dyDescent="0.25">
      <c r="A38" s="107" t="str">
        <f>'Plan economique (PAS)'!B28</f>
        <v>Denrées alimentaires - lait poudre</v>
      </c>
      <c r="B38" s="91">
        <f>ROUNDUP('Plan economique (PAS)'!C28/2,0)</f>
        <v>1</v>
      </c>
      <c r="C38" s="91" t="str">
        <f>'Plan economique (PAS)'!D28</f>
        <v>sac 25 kg</v>
      </c>
      <c r="D38" s="32">
        <f>'Plan economique (PAS)'!E28</f>
        <v>2450</v>
      </c>
      <c r="E38" s="32">
        <f t="shared" si="1"/>
        <v>2450</v>
      </c>
      <c r="F38" s="83" t="s">
        <v>213</v>
      </c>
    </row>
    <row r="39" spans="1:6" s="11" customFormat="1" x14ac:dyDescent="0.25">
      <c r="A39" s="107" t="str">
        <f>'Plan economique (PAS)'!B29</f>
        <v>Denrées alimentaires - gloria</v>
      </c>
      <c r="B39" s="91">
        <f>ROUNDUP('Plan economique (PAS)'!C29/2,0)</f>
        <v>1</v>
      </c>
      <c r="C39" s="91" t="str">
        <f>'Plan economique (PAS)'!D29</f>
        <v>caisse 96 ud</v>
      </c>
      <c r="D39" s="32">
        <f>'Plan economique (PAS)'!E29</f>
        <v>1200</v>
      </c>
      <c r="E39" s="32">
        <f t="shared" si="1"/>
        <v>1200</v>
      </c>
      <c r="F39" s="83" t="s">
        <v>213</v>
      </c>
    </row>
    <row r="40" spans="1:6" s="11" customFormat="1" x14ac:dyDescent="0.25">
      <c r="A40" s="107" t="str">
        <f>'Plan economique (PAS)'!B30</f>
        <v>Denrées alimentaires - biscuit</v>
      </c>
      <c r="B40" s="91">
        <f>ROUNDUP('Plan economique (PAS)'!C30/2,0)</f>
        <v>5</v>
      </c>
      <c r="C40" s="91" t="str">
        <f>'Plan economique (PAS)'!D30</f>
        <v>sac 50 ud</v>
      </c>
      <c r="D40" s="32">
        <f>'Plan economique (PAS)'!E30</f>
        <v>380</v>
      </c>
      <c r="E40" s="32">
        <f t="shared" si="1"/>
        <v>1900</v>
      </c>
      <c r="F40" s="83" t="s">
        <v>213</v>
      </c>
    </row>
    <row r="41" spans="1:6" s="11" customFormat="1" x14ac:dyDescent="0.25">
      <c r="A41" s="107" t="str">
        <f>'Plan economique (PAS)'!B31</f>
        <v>Denrées alimentaires - the</v>
      </c>
      <c r="B41" s="91">
        <f>ROUNDUP('Plan economique (PAS)'!C31/2,0)</f>
        <v>5</v>
      </c>
      <c r="C41" s="91" t="str">
        <f>'Plan economique (PAS)'!D31</f>
        <v>kg</v>
      </c>
      <c r="D41" s="32">
        <f>'Plan economique (PAS)'!E31</f>
        <v>226</v>
      </c>
      <c r="E41" s="32">
        <f t="shared" si="1"/>
        <v>1130</v>
      </c>
      <c r="F41" s="83" t="s">
        <v>213</v>
      </c>
    </row>
    <row r="42" spans="1:6" s="11" customFormat="1" x14ac:dyDescent="0.25">
      <c r="A42" s="107" t="str">
        <f>'Plan economique (PAS)'!B32</f>
        <v>Produits hygiène - savon</v>
      </c>
      <c r="B42" s="91">
        <f>ROUNDUP('Plan economique (PAS)'!C32/2,0)</f>
        <v>3</v>
      </c>
      <c r="C42" s="91" t="str">
        <f>'Plan economique (PAS)'!D32</f>
        <v>carton 18 ud</v>
      </c>
      <c r="D42" s="32">
        <f>'Plan economique (PAS)'!E32</f>
        <v>300</v>
      </c>
      <c r="E42" s="32">
        <f t="shared" si="1"/>
        <v>900</v>
      </c>
      <c r="F42" s="83" t="s">
        <v>213</v>
      </c>
    </row>
    <row r="43" spans="1:6" s="11" customFormat="1" x14ac:dyDescent="0.25">
      <c r="A43" s="107" t="str">
        <f>'Plan economique (PAS)'!B33</f>
        <v>Produits hygiène - omo</v>
      </c>
      <c r="B43" s="91">
        <f>ROUNDUP('Plan economique (PAS)'!C33/2,0)</f>
        <v>2</v>
      </c>
      <c r="C43" s="91" t="str">
        <f>'Plan economique (PAS)'!D33</f>
        <v>carton 150 ud</v>
      </c>
      <c r="D43" s="32">
        <f>'Plan economique (PAS)'!E33</f>
        <v>300</v>
      </c>
      <c r="E43" s="32">
        <f t="shared" ref="E43:E54" si="3">B43*D43</f>
        <v>600</v>
      </c>
      <c r="F43" s="83" t="s">
        <v>213</v>
      </c>
    </row>
    <row r="44" spans="1:6" s="11" customFormat="1" x14ac:dyDescent="0.25">
      <c r="A44" s="107" t="str">
        <f>'Plan economique (PAS)'!B34</f>
        <v>Transporteur denrées alimentaires</v>
      </c>
      <c r="B44" s="91">
        <f>ROUNDUP('Plan economique (PAS)'!C34/2,0)</f>
        <v>1</v>
      </c>
      <c r="C44" s="91" t="str">
        <f>'Plan economique (PAS)'!D34</f>
        <v>transport</v>
      </c>
      <c r="D44" s="32">
        <f>50*SUM(B33:B38)+30*(B39+B40+B41+B42+B43)</f>
        <v>2680</v>
      </c>
      <c r="E44" s="32">
        <f t="shared" si="3"/>
        <v>2680</v>
      </c>
      <c r="F44" s="83" t="s">
        <v>213</v>
      </c>
    </row>
    <row r="45" spans="1:6" s="11" customFormat="1" x14ac:dyDescent="0.25">
      <c r="A45" s="107"/>
      <c r="B45" s="91"/>
      <c r="C45" s="91"/>
      <c r="D45" s="32"/>
      <c r="E45" s="32"/>
      <c r="F45" s="83"/>
    </row>
    <row r="46" spans="1:6" x14ac:dyDescent="0.25">
      <c r="A46" s="22" t="s">
        <v>232</v>
      </c>
      <c r="B46" s="19"/>
      <c r="C46" s="19"/>
      <c r="D46" s="24"/>
      <c r="E46" s="127">
        <f>SUM(E47:E50)</f>
        <v>2760</v>
      </c>
      <c r="F46" s="128" t="s">
        <v>235</v>
      </c>
    </row>
    <row r="47" spans="1:6" s="11" customFormat="1" x14ac:dyDescent="0.25">
      <c r="A47" s="107" t="str">
        <f>'Plan economique (PAS)'!B35</f>
        <v>Bouteille gaz 12 l. - remplissage</v>
      </c>
      <c r="B47" s="91">
        <v>0</v>
      </c>
      <c r="C47" s="91" t="str">
        <f>'Plan economique (PAS)'!D35</f>
        <v>bouteille</v>
      </c>
      <c r="D47" s="32">
        <f>'Plan economique (PAS)'!E35</f>
        <v>300</v>
      </c>
      <c r="E47" s="32">
        <f t="shared" ref="E47:E48" si="4">B47*D47</f>
        <v>0</v>
      </c>
      <c r="F47" s="83" t="s">
        <v>233</v>
      </c>
    </row>
    <row r="48" spans="1:6" s="11" customFormat="1" x14ac:dyDescent="0.25">
      <c r="A48" s="107" t="str">
        <f>'Plan economique (PAS)'!B36</f>
        <v>Bouteille gaz 3 l. - remplissage</v>
      </c>
      <c r="B48" s="91">
        <v>0</v>
      </c>
      <c r="C48" s="91" t="str">
        <f>'Plan economique (PAS)'!D36</f>
        <v>bouteille</v>
      </c>
      <c r="D48" s="32">
        <f>'Plan economique (PAS)'!E36</f>
        <v>90</v>
      </c>
      <c r="E48" s="32">
        <f t="shared" si="4"/>
        <v>0</v>
      </c>
      <c r="F48" s="83" t="s">
        <v>233</v>
      </c>
    </row>
    <row r="49" spans="1:9" s="11" customFormat="1" x14ac:dyDescent="0.25">
      <c r="A49" s="107" t="str">
        <f>'Plan economique (PAS)'!B37</f>
        <v>Charbon</v>
      </c>
      <c r="B49" s="91">
        <f>'Plan economique (PAS)'!C37</f>
        <v>12</v>
      </c>
      <c r="C49" s="91" t="str">
        <f>'Plan economique (PAS)'!D37</f>
        <v>sac 20 kg</v>
      </c>
      <c r="D49" s="32">
        <f>'Plan economique (PAS)'!E37</f>
        <v>230</v>
      </c>
      <c r="E49" s="32">
        <f>B49*D49</f>
        <v>2760</v>
      </c>
      <c r="F49" s="83" t="s">
        <v>212</v>
      </c>
    </row>
    <row r="50" spans="1:9" s="11" customFormat="1" x14ac:dyDescent="0.25">
      <c r="A50" s="107"/>
      <c r="B50" s="91"/>
      <c r="C50" s="91"/>
      <c r="D50" s="32"/>
      <c r="E50" s="32"/>
      <c r="F50" s="83"/>
    </row>
    <row r="51" spans="1:9" x14ac:dyDescent="0.25">
      <c r="A51" s="22" t="s">
        <v>234</v>
      </c>
      <c r="B51" s="19"/>
      <c r="C51" s="19"/>
      <c r="D51" s="24"/>
      <c r="E51" s="127">
        <f>SUM(E52:E58)</f>
        <v>7750</v>
      </c>
      <c r="F51" s="128" t="s">
        <v>235</v>
      </c>
    </row>
    <row r="52" spans="1:9" s="11" customFormat="1" x14ac:dyDescent="0.25">
      <c r="A52" s="107" t="str">
        <f>'Plan economique (PAS)'!B38</f>
        <v>Vêtements - Voiles (cat. 1)</v>
      </c>
      <c r="B52" s="91">
        <f>'Plan economique (PAS)'!C38</f>
        <v>12</v>
      </c>
      <c r="C52" s="91" t="str">
        <f>'Plan economique (PAS)'!D38</f>
        <v>unités</v>
      </c>
      <c r="D52" s="32">
        <f>'Plan economique (PAS)'!E38</f>
        <v>115</v>
      </c>
      <c r="E52" s="32">
        <f t="shared" si="3"/>
        <v>1380</v>
      </c>
      <c r="F52" s="83" t="s">
        <v>212</v>
      </c>
    </row>
    <row r="53" spans="1:9" s="11" customFormat="1" x14ac:dyDescent="0.25">
      <c r="A53" s="107" t="str">
        <f>'Plan economique (PAS)'!B39</f>
        <v>Vêtements - Voiles (cat. 2)</v>
      </c>
      <c r="B53" s="91">
        <f>'Plan economique (PAS)'!C39</f>
        <v>10</v>
      </c>
      <c r="C53" s="91" t="str">
        <f>'Plan economique (PAS)'!D39</f>
        <v>unités</v>
      </c>
      <c r="D53" s="32">
        <f>'Plan economique (PAS)'!E39</f>
        <v>180</v>
      </c>
      <c r="E53" s="32">
        <f t="shared" si="3"/>
        <v>1800</v>
      </c>
      <c r="F53" s="83" t="s">
        <v>212</v>
      </c>
    </row>
    <row r="54" spans="1:9" s="11" customFormat="1" x14ac:dyDescent="0.25">
      <c r="A54" s="107" t="str">
        <f>'Plan economique (PAS)'!B40</f>
        <v>Vêtements - Robes</v>
      </c>
      <c r="B54" s="91">
        <f>'Plan economique (PAS)'!C40</f>
        <v>12</v>
      </c>
      <c r="C54" s="91" t="str">
        <f>'Plan economique (PAS)'!D40</f>
        <v>unités</v>
      </c>
      <c r="D54" s="32">
        <f>'Plan economique (PAS)'!E40</f>
        <v>125</v>
      </c>
      <c r="E54" s="32">
        <f t="shared" si="3"/>
        <v>1500</v>
      </c>
      <c r="F54" s="83" t="s">
        <v>212</v>
      </c>
    </row>
    <row r="55" spans="1:9" s="11" customFormat="1" x14ac:dyDescent="0.25">
      <c r="A55" s="107" t="str">
        <f>'Plan economique (PAS)'!B41</f>
        <v>Vêtements - Chaussures</v>
      </c>
      <c r="B55" s="91">
        <f>'Plan economique (PAS)'!C41</f>
        <v>12</v>
      </c>
      <c r="C55" s="91" t="str">
        <f>'Plan economique (PAS)'!D41</f>
        <v>unités</v>
      </c>
      <c r="D55" s="32">
        <f>'Plan economique (PAS)'!E41</f>
        <v>110</v>
      </c>
      <c r="E55" s="32">
        <f t="shared" ref="E55:E60" si="5">B55*D55</f>
        <v>1320</v>
      </c>
      <c r="F55" s="83" t="s">
        <v>212</v>
      </c>
    </row>
    <row r="56" spans="1:9" s="11" customFormat="1" x14ac:dyDescent="0.25">
      <c r="A56" s="107" t="str">
        <f>'Plan economique (PAS)'!B42</f>
        <v>Vêtements - Vêtements enfant</v>
      </c>
      <c r="B56" s="91">
        <f>'Plan economique (PAS)'!C42</f>
        <v>5</v>
      </c>
      <c r="C56" s="91" t="str">
        <f>'Plan economique (PAS)'!D42</f>
        <v>unités</v>
      </c>
      <c r="D56" s="32">
        <f>'Plan economique (PAS)'!E42</f>
        <v>250</v>
      </c>
      <c r="E56" s="32">
        <f t="shared" si="5"/>
        <v>1250</v>
      </c>
      <c r="F56" s="83" t="s">
        <v>212</v>
      </c>
    </row>
    <row r="57" spans="1:9" s="11" customFormat="1" x14ac:dyDescent="0.25">
      <c r="A57" s="107" t="str">
        <f>'Plan economique (PAS)'!B43</f>
        <v>Transport Vêtements</v>
      </c>
      <c r="B57" s="91">
        <f>'Plan economique (PAS)'!C43</f>
        <v>1</v>
      </c>
      <c r="C57" s="91" t="str">
        <f>'Plan economique (PAS)'!D43</f>
        <v>transport</v>
      </c>
      <c r="D57" s="32">
        <f>'Plan economique (PAS)'!E43</f>
        <v>500</v>
      </c>
      <c r="E57" s="32">
        <f t="shared" si="5"/>
        <v>500</v>
      </c>
      <c r="F57" s="83" t="s">
        <v>212</v>
      </c>
    </row>
    <row r="58" spans="1:9" s="11" customFormat="1" x14ac:dyDescent="0.25">
      <c r="A58" s="107"/>
      <c r="B58" s="91"/>
      <c r="C58" s="91"/>
      <c r="D58" s="32"/>
      <c r="E58" s="32"/>
      <c r="F58" s="83"/>
    </row>
    <row r="59" spans="1:9" x14ac:dyDescent="0.25">
      <c r="A59" s="22" t="s">
        <v>236</v>
      </c>
      <c r="B59" s="19"/>
      <c r="C59" s="19"/>
      <c r="D59" s="24"/>
      <c r="E59" s="127">
        <f>E60</f>
        <v>530</v>
      </c>
      <c r="F59" s="128" t="s">
        <v>235</v>
      </c>
    </row>
    <row r="60" spans="1:9" s="11" customFormat="1" x14ac:dyDescent="0.25">
      <c r="A60" s="107" t="s">
        <v>237</v>
      </c>
      <c r="B60" s="91">
        <v>1</v>
      </c>
      <c r="C60" s="91" t="s">
        <v>149</v>
      </c>
      <c r="D60" s="32">
        <v>530</v>
      </c>
      <c r="E60" s="32">
        <f t="shared" si="5"/>
        <v>530</v>
      </c>
      <c r="F60" s="83" t="s">
        <v>212</v>
      </c>
    </row>
    <row r="61" spans="1:9" x14ac:dyDescent="0.25">
      <c r="B61" s="91"/>
      <c r="C61" s="91"/>
      <c r="D61" s="32"/>
      <c r="E61" s="32"/>
      <c r="F61" s="53"/>
    </row>
    <row r="62" spans="1:9" s="120" customFormat="1" ht="15.75" x14ac:dyDescent="0.25">
      <c r="A62" s="117" t="s">
        <v>238</v>
      </c>
      <c r="B62" s="119"/>
      <c r="C62" s="119"/>
      <c r="D62" s="119"/>
      <c r="E62" s="118">
        <f>+E51+E46+E32+E26+E23+E59</f>
        <v>68900</v>
      </c>
      <c r="F62" s="126"/>
    </row>
    <row r="63" spans="1:9" x14ac:dyDescent="0.25">
      <c r="A63" s="113"/>
      <c r="B63" s="3"/>
      <c r="C63" s="3"/>
      <c r="D63" s="3"/>
      <c r="G63" s="46"/>
      <c r="I63" s="47"/>
    </row>
    <row r="64" spans="1:9" ht="18.75" x14ac:dyDescent="0.25">
      <c r="A64" s="122" t="s">
        <v>71</v>
      </c>
      <c r="B64" s="122"/>
      <c r="C64" s="122"/>
      <c r="D64" s="122"/>
      <c r="E64" s="122"/>
      <c r="F64" s="122" t="s">
        <v>226</v>
      </c>
      <c r="G64" s="2"/>
      <c r="I64" s="47"/>
    </row>
    <row r="65" spans="1:7" x14ac:dyDescent="0.25">
      <c r="A65" s="133" t="str">
        <f>A19</f>
        <v>Total Investissement AGR couvert</v>
      </c>
      <c r="B65" s="133"/>
      <c r="C65" s="133"/>
      <c r="D65" s="133"/>
      <c r="E65" s="133">
        <f>E19</f>
        <v>16100</v>
      </c>
      <c r="F65" s="130" t="s">
        <v>227</v>
      </c>
      <c r="G65" s="46"/>
    </row>
    <row r="66" spans="1:7" x14ac:dyDescent="0.25">
      <c r="A66" s="133" t="str">
        <f>A23</f>
        <v>Coûts fixes</v>
      </c>
      <c r="B66" s="133"/>
      <c r="C66" s="133"/>
      <c r="D66" s="133"/>
      <c r="E66" s="132">
        <f>E23</f>
        <v>2000</v>
      </c>
      <c r="F66" s="130" t="s">
        <v>211</v>
      </c>
    </row>
    <row r="67" spans="1:7" s="107" customFormat="1" x14ac:dyDescent="0.25">
      <c r="A67" s="133" t="str">
        <f>A26</f>
        <v>Coûts variables. Vente de poisson et légumes, cycle hebdomadaire</v>
      </c>
      <c r="B67" s="133"/>
      <c r="C67" s="133"/>
      <c r="D67" s="133"/>
      <c r="E67" s="132">
        <f t="shared" ref="E67" si="6">E26</f>
        <v>3210</v>
      </c>
      <c r="F67" s="130" t="s">
        <v>212</v>
      </c>
    </row>
    <row r="68" spans="1:7" s="107" customFormat="1" x14ac:dyDescent="0.25">
      <c r="A68" s="133" t="str">
        <f>A32</f>
        <v>Coûts variables. Vente de denrées alimenatires et produits d'hygiene, cycle mensuel</v>
      </c>
      <c r="B68" s="133"/>
      <c r="C68" s="133"/>
      <c r="D68" s="133"/>
      <c r="E68" s="132">
        <f t="shared" ref="E68" si="7">E32</f>
        <v>52650</v>
      </c>
      <c r="F68" s="130" t="s">
        <v>213</v>
      </c>
    </row>
    <row r="69" spans="1:7" s="107" customFormat="1" x14ac:dyDescent="0.25">
      <c r="A69" s="133" t="str">
        <f>A46</f>
        <v>Coûts variables. Vente de charbon et gaz, cycle mensuel</v>
      </c>
      <c r="B69" s="133"/>
      <c r="C69" s="133"/>
      <c r="D69" s="133"/>
      <c r="E69" s="132">
        <f t="shared" ref="E69" si="8">E46</f>
        <v>2760</v>
      </c>
      <c r="F69" s="130" t="s">
        <v>212</v>
      </c>
    </row>
    <row r="70" spans="1:7" s="107" customFormat="1" x14ac:dyDescent="0.25">
      <c r="A70" s="133" t="str">
        <f>A51</f>
        <v>Coûts variables. Vente d'habilles, cycle mensuel</v>
      </c>
      <c r="B70" s="133"/>
      <c r="C70" s="133"/>
      <c r="D70" s="133"/>
      <c r="E70" s="132">
        <f t="shared" ref="E70" si="9">E51</f>
        <v>7750</v>
      </c>
      <c r="F70" s="130" t="s">
        <v>212</v>
      </c>
    </row>
    <row r="71" spans="1:7" s="107" customFormat="1" x14ac:dyDescent="0.25">
      <c r="A71" s="133" t="str">
        <f>A59</f>
        <v>Autres</v>
      </c>
      <c r="B71" s="133"/>
      <c r="C71" s="133"/>
      <c r="D71" s="133"/>
      <c r="E71" s="132">
        <f t="shared" ref="E71" si="10">E59</f>
        <v>530</v>
      </c>
      <c r="F71" s="130" t="s">
        <v>212</v>
      </c>
    </row>
    <row r="72" spans="1:7" s="107" customFormat="1" x14ac:dyDescent="0.25">
      <c r="A72" s="133"/>
      <c r="B72" s="133"/>
      <c r="C72" s="133"/>
      <c r="D72" s="133"/>
      <c r="E72" s="132"/>
      <c r="F72" s="131"/>
    </row>
    <row r="73" spans="1:7" s="120" customFormat="1" ht="15.75" x14ac:dyDescent="0.25">
      <c r="A73" s="117" t="s">
        <v>241</v>
      </c>
      <c r="B73" s="119"/>
      <c r="C73" s="119"/>
      <c r="D73" s="119"/>
      <c r="E73" s="118">
        <f>SUM(E65:E72)</f>
        <v>85000</v>
      </c>
      <c r="F73" s="126"/>
    </row>
    <row r="74" spans="1:7" x14ac:dyDescent="0.25">
      <c r="E74" s="45"/>
      <c r="F74" s="125"/>
    </row>
    <row r="76" spans="1:7" x14ac:dyDescent="0.25">
      <c r="A76" s="47"/>
      <c r="B76" s="47"/>
    </row>
    <row r="78" spans="1:7" x14ac:dyDescent="0.25">
      <c r="A78" s="47"/>
    </row>
    <row r="87" spans="1:1" x14ac:dyDescent="0.25">
      <c r="A87" s="106"/>
    </row>
    <row r="88" spans="1:1" x14ac:dyDescent="0.25">
      <c r="A88" s="106"/>
    </row>
    <row r="89" spans="1:1" x14ac:dyDescent="0.25">
      <c r="A89" s="106"/>
    </row>
    <row r="90" spans="1:1" x14ac:dyDescent="0.25">
      <c r="A90" s="106"/>
    </row>
    <row r="91" spans="1:1" x14ac:dyDescent="0.25">
      <c r="A91" s="106"/>
    </row>
    <row r="92" spans="1:1" x14ac:dyDescent="0.25">
      <c r="A92" s="106"/>
    </row>
  </sheetData>
  <mergeCells count="2">
    <mergeCell ref="B7:F7"/>
    <mergeCell ref="B8:F8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 general</vt:lpstr>
      <vt:lpstr>Plan economique (PAS)</vt:lpstr>
      <vt:lpstr>Plan economique (PAS) 2</vt:lpstr>
      <vt:lpstr>Apport CRM</vt:lpstr>
      <vt:lpstr>'Info general'!Área_de_impresión</vt:lpstr>
      <vt:lpstr>'Plan economique (PAS)'!Área_de_impresión</vt:lpstr>
      <vt:lpstr>'Plan economique (PAS) 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Pilar</dc:creator>
  <cp:lastModifiedBy>Gema Arranz</cp:lastModifiedBy>
  <cp:lastPrinted>2021-05-12T14:11:19Z</cp:lastPrinted>
  <dcterms:created xsi:type="dcterms:W3CDTF">2020-07-27T11:11:56Z</dcterms:created>
  <dcterms:modified xsi:type="dcterms:W3CDTF">2021-07-07T12:44:23Z</dcterms:modified>
</cp:coreProperties>
</file>